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710" firstSheet="1" activeTab="6"/>
  </bookViews>
  <sheets>
    <sheet name="Sales Plan" sheetId="1" r:id="rId1"/>
    <sheet name="Inventory Plan" sheetId="4" r:id="rId2"/>
    <sheet name="Reductions Plan" sheetId="5" r:id="rId3"/>
    <sheet name="Retail Purchases Plan" sheetId="6" r:id="rId4"/>
    <sheet name="IMU" sheetId="7" r:id="rId5"/>
    <sheet name="Cost Values" sheetId="8" r:id="rId6"/>
    <sheet name="Gross Margin" sheetId="9" r:id="rId7"/>
  </sheets>
  <definedNames>
    <definedName name="_xlnm.Print_Area" localSheetId="5">'Cost Values'!$A$1:$I$61</definedName>
    <definedName name="_xlnm.Print_Area" localSheetId="6">'Gross Margin'!$A$1:$I$61</definedName>
    <definedName name="_xlnm.Print_Area" localSheetId="4">IMU!$A$1:$I$61</definedName>
    <definedName name="_xlnm.Print_Area" localSheetId="1">'Inventory Plan'!$A$1:$I$61</definedName>
    <definedName name="_xlnm.Print_Area" localSheetId="2">'Reductions Plan'!$A$1:$I$61</definedName>
    <definedName name="_xlnm.Print_Area" localSheetId="3">'Retail Purchases Plan'!$A$1:$I$61</definedName>
    <definedName name="_xlnm.Print_Area" localSheetId="0">'Sales Plan'!$A$1:$I$61</definedName>
  </definedNames>
  <calcPr calcId="125725"/>
  <fileRecoveryPr repairLoad="1"/>
</workbook>
</file>

<file path=xl/calcChain.xml><?xml version="1.0" encoding="utf-8"?>
<calcChain xmlns="http://schemas.openxmlformats.org/spreadsheetml/2006/main">
  <c r="D61" i="9"/>
  <c r="D47"/>
  <c r="AW28"/>
  <c r="AX20"/>
  <c r="AU16"/>
  <c r="AU14"/>
  <c r="AV11"/>
  <c r="AV10"/>
  <c r="AV9"/>
  <c r="AV8"/>
  <c r="AV4"/>
  <c r="AU5"/>
  <c r="AU4"/>
  <c r="AT1"/>
  <c r="AX30"/>
  <c r="AW30" s="1"/>
  <c r="AV12"/>
  <c r="AU20"/>
  <c r="AV3"/>
  <c r="AU3"/>
  <c r="AU6" s="1"/>
  <c r="AQ20"/>
  <c r="AN16"/>
  <c r="AN14"/>
  <c r="AO11"/>
  <c r="AO10"/>
  <c r="AO9"/>
  <c r="AO8"/>
  <c r="AO4"/>
  <c r="AN5"/>
  <c r="AN4"/>
  <c r="AM1"/>
  <c r="AQ30"/>
  <c r="AO12"/>
  <c r="AP4"/>
  <c r="AN20"/>
  <c r="AO3"/>
  <c r="AO6" s="1"/>
  <c r="AN3"/>
  <c r="AN6" s="1"/>
  <c r="AJ20"/>
  <c r="AG16"/>
  <c r="AG14"/>
  <c r="AH11"/>
  <c r="AH10"/>
  <c r="AH9"/>
  <c r="AH8"/>
  <c r="AH4"/>
  <c r="AG5"/>
  <c r="AG4"/>
  <c r="AF1"/>
  <c r="AJ30"/>
  <c r="AG24"/>
  <c r="AJ24" s="1"/>
  <c r="AG20"/>
  <c r="AH3"/>
  <c r="AH6" s="1"/>
  <c r="AG3"/>
  <c r="AC20"/>
  <c r="Z16"/>
  <c r="Z14"/>
  <c r="AA11"/>
  <c r="AA10"/>
  <c r="AA9"/>
  <c r="AA8"/>
  <c r="AA4"/>
  <c r="Z5"/>
  <c r="Z4"/>
  <c r="Y1"/>
  <c r="AC30"/>
  <c r="AA12"/>
  <c r="AB30"/>
  <c r="Z20"/>
  <c r="AA3"/>
  <c r="AA6" s="1"/>
  <c r="Z3"/>
  <c r="Z6" s="1"/>
  <c r="V24"/>
  <c r="S20"/>
  <c r="O24"/>
  <c r="L20"/>
  <c r="U30"/>
  <c r="N30"/>
  <c r="S14"/>
  <c r="V20"/>
  <c r="S24"/>
  <c r="L24"/>
  <c r="S16"/>
  <c r="T8"/>
  <c r="T11"/>
  <c r="T10"/>
  <c r="T9"/>
  <c r="S5"/>
  <c r="T4"/>
  <c r="T3"/>
  <c r="S4"/>
  <c r="L4"/>
  <c r="D51"/>
  <c r="R1"/>
  <c r="S3"/>
  <c r="V30"/>
  <c r="T12"/>
  <c r="S6"/>
  <c r="O18"/>
  <c r="N18"/>
  <c r="L22"/>
  <c r="L26"/>
  <c r="N28" s="1"/>
  <c r="M14"/>
  <c r="L14"/>
  <c r="D57"/>
  <c r="M12"/>
  <c r="P6"/>
  <c r="N4"/>
  <c r="M4"/>
  <c r="N3"/>
  <c r="M6"/>
  <c r="L6"/>
  <c r="O20"/>
  <c r="D30"/>
  <c r="D29"/>
  <c r="D39"/>
  <c r="C59"/>
  <c r="D45"/>
  <c r="O30"/>
  <c r="M11"/>
  <c r="M10"/>
  <c r="M9"/>
  <c r="M8"/>
  <c r="M3"/>
  <c r="L5"/>
  <c r="L3"/>
  <c r="K1"/>
  <c r="C41"/>
  <c r="C23"/>
  <c r="C21"/>
  <c r="I45"/>
  <c r="H45"/>
  <c r="G45"/>
  <c r="F45"/>
  <c r="E45"/>
  <c r="C45"/>
  <c r="C39" s="1"/>
  <c r="AV6" l="1"/>
  <c r="AU22"/>
  <c r="AW4"/>
  <c r="AV14"/>
  <c r="AY6"/>
  <c r="AX18"/>
  <c r="AU24"/>
  <c r="AX24" s="1"/>
  <c r="AU26"/>
  <c r="AW3"/>
  <c r="AW18" s="1"/>
  <c r="AP30"/>
  <c r="AN22"/>
  <c r="AQ18" s="1"/>
  <c r="AO14"/>
  <c r="AR6"/>
  <c r="AN24"/>
  <c r="AQ24" s="1"/>
  <c r="AP3"/>
  <c r="AP18" s="1"/>
  <c r="AH12"/>
  <c r="AH14" s="1"/>
  <c r="AI30"/>
  <c r="AG22"/>
  <c r="AJ18" s="1"/>
  <c r="AI4"/>
  <c r="AG6"/>
  <c r="AK6" s="1"/>
  <c r="AG26"/>
  <c r="AI28" s="1"/>
  <c r="AI3"/>
  <c r="Z22"/>
  <c r="AB4"/>
  <c r="AA14"/>
  <c r="AD6"/>
  <c r="AC18"/>
  <c r="Z24"/>
  <c r="AC24" s="1"/>
  <c r="AB3"/>
  <c r="AB18" s="1"/>
  <c r="N32"/>
  <c r="O32" s="1"/>
  <c r="O28"/>
  <c r="T6"/>
  <c r="T14" s="1"/>
  <c r="W6"/>
  <c r="U4"/>
  <c r="S26"/>
  <c r="U28" s="1"/>
  <c r="U3"/>
  <c r="U18" s="1"/>
  <c r="S22"/>
  <c r="V18" s="1"/>
  <c r="C35"/>
  <c r="C31"/>
  <c r="C27"/>
  <c r="C19"/>
  <c r="C18"/>
  <c r="C5"/>
  <c r="C15" s="1"/>
  <c r="C61" i="8"/>
  <c r="C59"/>
  <c r="I59"/>
  <c r="H59"/>
  <c r="G59"/>
  <c r="F59"/>
  <c r="I61"/>
  <c r="H61"/>
  <c r="G61"/>
  <c r="F61"/>
  <c r="E61"/>
  <c r="C57"/>
  <c r="I57"/>
  <c r="E59"/>
  <c r="D61"/>
  <c r="D59"/>
  <c r="I55"/>
  <c r="I45" s="1"/>
  <c r="H57"/>
  <c r="H55"/>
  <c r="H45" s="1"/>
  <c r="G57"/>
  <c r="G55"/>
  <c r="F57"/>
  <c r="F55"/>
  <c r="E57"/>
  <c r="E55"/>
  <c r="D57"/>
  <c r="E45"/>
  <c r="C45"/>
  <c r="G45"/>
  <c r="F45"/>
  <c r="D45"/>
  <c r="C35"/>
  <c r="C31"/>
  <c r="C27"/>
  <c r="C19"/>
  <c r="D18"/>
  <c r="C18"/>
  <c r="C41" s="1"/>
  <c r="C5"/>
  <c r="C15" s="1"/>
  <c r="I51" i="7"/>
  <c r="H51"/>
  <c r="G51"/>
  <c r="F51"/>
  <c r="E51"/>
  <c r="D51"/>
  <c r="I53"/>
  <c r="H53"/>
  <c r="G53"/>
  <c r="F53"/>
  <c r="E53"/>
  <c r="D53"/>
  <c r="C51"/>
  <c r="C15"/>
  <c r="C5"/>
  <c r="C35"/>
  <c r="C31"/>
  <c r="C27"/>
  <c r="C19"/>
  <c r="C18"/>
  <c r="C41" s="1"/>
  <c r="C37" i="6"/>
  <c r="I37"/>
  <c r="H37"/>
  <c r="G37"/>
  <c r="F37"/>
  <c r="E37"/>
  <c r="D37"/>
  <c r="C35"/>
  <c r="C31"/>
  <c r="C27"/>
  <c r="C19"/>
  <c r="C18"/>
  <c r="C41" s="1"/>
  <c r="I29" i="5"/>
  <c r="H29"/>
  <c r="G29"/>
  <c r="F29"/>
  <c r="E29"/>
  <c r="D29"/>
  <c r="AW32" i="9" l="1"/>
  <c r="AX32" s="1"/>
  <c r="AX28"/>
  <c r="AN26"/>
  <c r="AP28" s="1"/>
  <c r="AI18"/>
  <c r="AI32"/>
  <c r="AJ32" s="1"/>
  <c r="AJ28"/>
  <c r="Z26"/>
  <c r="AB28" s="1"/>
  <c r="V28"/>
  <c r="U32"/>
  <c r="V32" s="1"/>
  <c r="E18"/>
  <c r="D23" s="1"/>
  <c r="G18"/>
  <c r="I18"/>
  <c r="H23" s="1"/>
  <c r="E21"/>
  <c r="G21"/>
  <c r="I21"/>
  <c r="F23"/>
  <c r="C25"/>
  <c r="C33"/>
  <c r="D18"/>
  <c r="F18"/>
  <c r="F21" s="1"/>
  <c r="H18"/>
  <c r="D21"/>
  <c r="H21"/>
  <c r="G23"/>
  <c r="C29"/>
  <c r="F18" i="8"/>
  <c r="H18"/>
  <c r="D21"/>
  <c r="F21"/>
  <c r="E23"/>
  <c r="G23"/>
  <c r="C29"/>
  <c r="E18"/>
  <c r="G18"/>
  <c r="I18"/>
  <c r="C21"/>
  <c r="E21"/>
  <c r="G21"/>
  <c r="I21"/>
  <c r="F23"/>
  <c r="C25"/>
  <c r="C33"/>
  <c r="C53" i="7"/>
  <c r="D18"/>
  <c r="F18"/>
  <c r="H18"/>
  <c r="D21"/>
  <c r="H21"/>
  <c r="G23"/>
  <c r="C29"/>
  <c r="E18"/>
  <c r="G18"/>
  <c r="I18"/>
  <c r="C21"/>
  <c r="E21"/>
  <c r="G21"/>
  <c r="I21"/>
  <c r="D23"/>
  <c r="H23"/>
  <c r="C25"/>
  <c r="C33"/>
  <c r="E18" i="6"/>
  <c r="G18"/>
  <c r="F23" s="1"/>
  <c r="I18"/>
  <c r="E21"/>
  <c r="G21"/>
  <c r="I21"/>
  <c r="D23"/>
  <c r="H23"/>
  <c r="C25"/>
  <c r="C33"/>
  <c r="D18"/>
  <c r="F18"/>
  <c r="H18"/>
  <c r="H21" s="1"/>
  <c r="F21"/>
  <c r="E23"/>
  <c r="C29"/>
  <c r="AP32" i="9" l="1"/>
  <c r="AQ32" s="1"/>
  <c r="AQ28"/>
  <c r="AB32"/>
  <c r="AC32" s="1"/>
  <c r="AC28"/>
  <c r="F41"/>
  <c r="F22"/>
  <c r="L16"/>
  <c r="E55"/>
  <c r="D41"/>
  <c r="I23"/>
  <c r="D22"/>
  <c r="I41"/>
  <c r="I22"/>
  <c r="I29"/>
  <c r="I30" s="1"/>
  <c r="G29"/>
  <c r="G30" s="1"/>
  <c r="E29"/>
  <c r="E30" s="1"/>
  <c r="C30"/>
  <c r="H29"/>
  <c r="H30" s="1"/>
  <c r="F29"/>
  <c r="F30" s="1"/>
  <c r="H43"/>
  <c r="D43"/>
  <c r="C34"/>
  <c r="H33"/>
  <c r="H34" s="1"/>
  <c r="F33"/>
  <c r="F34" s="1"/>
  <c r="D33"/>
  <c r="D34" s="1"/>
  <c r="I33"/>
  <c r="I34" s="1"/>
  <c r="G33"/>
  <c r="G34" s="1"/>
  <c r="E33"/>
  <c r="E34" s="1"/>
  <c r="G41"/>
  <c r="G22"/>
  <c r="G43"/>
  <c r="E23"/>
  <c r="C43"/>
  <c r="H41"/>
  <c r="H22"/>
  <c r="F43"/>
  <c r="C26"/>
  <c r="H25"/>
  <c r="H26" s="1"/>
  <c r="F25"/>
  <c r="F26" s="1"/>
  <c r="D25"/>
  <c r="D26" s="1"/>
  <c r="I25"/>
  <c r="I26" s="1"/>
  <c r="G25"/>
  <c r="G26" s="1"/>
  <c r="E25"/>
  <c r="E26" s="1"/>
  <c r="E41"/>
  <c r="E22"/>
  <c r="I43"/>
  <c r="I37"/>
  <c r="I51" s="1"/>
  <c r="E43"/>
  <c r="E37"/>
  <c r="E51" s="1"/>
  <c r="I25" i="8"/>
  <c r="I26" s="1"/>
  <c r="G25"/>
  <c r="G26" s="1"/>
  <c r="E25"/>
  <c r="E26" s="1"/>
  <c r="C26"/>
  <c r="H25"/>
  <c r="H26" s="1"/>
  <c r="F25"/>
  <c r="F26" s="1"/>
  <c r="D25"/>
  <c r="D26" s="1"/>
  <c r="I22"/>
  <c r="E41"/>
  <c r="E22"/>
  <c r="E43"/>
  <c r="C30"/>
  <c r="H29"/>
  <c r="H30" s="1"/>
  <c r="F29"/>
  <c r="F30" s="1"/>
  <c r="D29"/>
  <c r="D30" s="1"/>
  <c r="I29"/>
  <c r="I30" s="1"/>
  <c r="G29"/>
  <c r="G30" s="1"/>
  <c r="E29"/>
  <c r="E30" s="1"/>
  <c r="F41"/>
  <c r="F22"/>
  <c r="I33"/>
  <c r="I34" s="1"/>
  <c r="G33"/>
  <c r="G34" s="1"/>
  <c r="E33"/>
  <c r="E34" s="1"/>
  <c r="C34"/>
  <c r="H33"/>
  <c r="H34" s="1"/>
  <c r="F33"/>
  <c r="F34" s="1"/>
  <c r="D33"/>
  <c r="D34" s="1"/>
  <c r="G41"/>
  <c r="G22"/>
  <c r="G43"/>
  <c r="D41"/>
  <c r="C23"/>
  <c r="D22"/>
  <c r="F43"/>
  <c r="H23"/>
  <c r="H37" s="1"/>
  <c r="H51" s="1"/>
  <c r="H53" s="1"/>
  <c r="D23"/>
  <c r="D37" s="1"/>
  <c r="C43"/>
  <c r="H21"/>
  <c r="I33" i="7"/>
  <c r="I34" s="1"/>
  <c r="G33"/>
  <c r="G34" s="1"/>
  <c r="E33"/>
  <c r="E34" s="1"/>
  <c r="C34"/>
  <c r="H33"/>
  <c r="H34" s="1"/>
  <c r="F33"/>
  <c r="F34" s="1"/>
  <c r="D33"/>
  <c r="D34" s="1"/>
  <c r="G41"/>
  <c r="G22"/>
  <c r="G43"/>
  <c r="H41"/>
  <c r="H22"/>
  <c r="D41"/>
  <c r="D22"/>
  <c r="I25"/>
  <c r="I26" s="1"/>
  <c r="G25"/>
  <c r="G26" s="1"/>
  <c r="E25"/>
  <c r="E26" s="1"/>
  <c r="C26"/>
  <c r="H25"/>
  <c r="H26" s="1"/>
  <c r="F25"/>
  <c r="F26" s="1"/>
  <c r="D25"/>
  <c r="D26" s="1"/>
  <c r="I22"/>
  <c r="E22"/>
  <c r="E37"/>
  <c r="C30"/>
  <c r="H29"/>
  <c r="H30" s="1"/>
  <c r="F29"/>
  <c r="F30" s="1"/>
  <c r="D29"/>
  <c r="D30" s="1"/>
  <c r="I29"/>
  <c r="I30" s="1"/>
  <c r="G29"/>
  <c r="G30" s="1"/>
  <c r="E29"/>
  <c r="E30" s="1"/>
  <c r="H43"/>
  <c r="D43"/>
  <c r="F23"/>
  <c r="F37" s="1"/>
  <c r="E23"/>
  <c r="E41" s="1"/>
  <c r="F21"/>
  <c r="H22" i="6"/>
  <c r="H41"/>
  <c r="I29"/>
  <c r="I30" s="1"/>
  <c r="G29"/>
  <c r="G30" s="1"/>
  <c r="E29"/>
  <c r="E30" s="1"/>
  <c r="C30"/>
  <c r="H29"/>
  <c r="H30" s="1"/>
  <c r="F29"/>
  <c r="F30" s="1"/>
  <c r="D29"/>
  <c r="D30" s="1"/>
  <c r="F22"/>
  <c r="F41"/>
  <c r="C34"/>
  <c r="H33"/>
  <c r="H34" s="1"/>
  <c r="F33"/>
  <c r="F34" s="1"/>
  <c r="D33"/>
  <c r="D34" s="1"/>
  <c r="I33"/>
  <c r="I34" s="1"/>
  <c r="G33"/>
  <c r="G34" s="1"/>
  <c r="E33"/>
  <c r="E34" s="1"/>
  <c r="C26"/>
  <c r="H25"/>
  <c r="H26" s="1"/>
  <c r="F25"/>
  <c r="F26" s="1"/>
  <c r="D25"/>
  <c r="D26" s="1"/>
  <c r="I25"/>
  <c r="I26" s="1"/>
  <c r="G25"/>
  <c r="G26" s="1"/>
  <c r="E25"/>
  <c r="E26" s="1"/>
  <c r="I22"/>
  <c r="E41"/>
  <c r="E22"/>
  <c r="G23"/>
  <c r="D21"/>
  <c r="F43"/>
  <c r="E43"/>
  <c r="G41"/>
  <c r="G22"/>
  <c r="H43"/>
  <c r="C21"/>
  <c r="G43"/>
  <c r="C41" i="5"/>
  <c r="I34"/>
  <c r="H34"/>
  <c r="G34"/>
  <c r="F34"/>
  <c r="E34"/>
  <c r="D34"/>
  <c r="C34"/>
  <c r="I33"/>
  <c r="H33"/>
  <c r="G33"/>
  <c r="F33"/>
  <c r="E33"/>
  <c r="D33"/>
  <c r="C35"/>
  <c r="C33"/>
  <c r="I30"/>
  <c r="H30"/>
  <c r="G30"/>
  <c r="F30"/>
  <c r="E30"/>
  <c r="D30"/>
  <c r="C30"/>
  <c r="C31"/>
  <c r="C29"/>
  <c r="I26"/>
  <c r="H26"/>
  <c r="G26"/>
  <c r="F26"/>
  <c r="E26"/>
  <c r="D26"/>
  <c r="C26"/>
  <c r="I25"/>
  <c r="H25"/>
  <c r="G25"/>
  <c r="F25"/>
  <c r="E25"/>
  <c r="D25"/>
  <c r="C27"/>
  <c r="C25"/>
  <c r="C19"/>
  <c r="C18"/>
  <c r="H23" i="4"/>
  <c r="G23"/>
  <c r="F23"/>
  <c r="E23"/>
  <c r="D23"/>
  <c r="I21"/>
  <c r="I22" s="1"/>
  <c r="H21"/>
  <c r="H41" s="1"/>
  <c r="G21"/>
  <c r="G22" s="1"/>
  <c r="F21"/>
  <c r="F41" s="1"/>
  <c r="E21"/>
  <c r="D21"/>
  <c r="D22"/>
  <c r="C41"/>
  <c r="D41"/>
  <c r="E22"/>
  <c r="C21"/>
  <c r="C19"/>
  <c r="F18"/>
  <c r="D18"/>
  <c r="C18"/>
  <c r="I18" s="1"/>
  <c r="F37" i="9" l="1"/>
  <c r="F51" s="1"/>
  <c r="D37"/>
  <c r="H37"/>
  <c r="H51" s="1"/>
  <c r="E59"/>
  <c r="E53"/>
  <c r="I53"/>
  <c r="G37"/>
  <c r="G51" s="1"/>
  <c r="D43" i="8"/>
  <c r="H41"/>
  <c r="H22"/>
  <c r="D51"/>
  <c r="F37"/>
  <c r="F51" s="1"/>
  <c r="F53" s="1"/>
  <c r="I23"/>
  <c r="G37"/>
  <c r="G51" s="1"/>
  <c r="G53" s="1"/>
  <c r="H43"/>
  <c r="E37"/>
  <c r="E51" s="1"/>
  <c r="E53" s="1"/>
  <c r="F41" i="7"/>
  <c r="F22"/>
  <c r="F43"/>
  <c r="C23"/>
  <c r="C43" s="1"/>
  <c r="D37"/>
  <c r="H37"/>
  <c r="E43"/>
  <c r="I23"/>
  <c r="G37"/>
  <c r="I23" i="6"/>
  <c r="C23"/>
  <c r="C43" s="1"/>
  <c r="D22"/>
  <c r="D41"/>
  <c r="D43"/>
  <c r="E18" i="5"/>
  <c r="G18"/>
  <c r="I18"/>
  <c r="E21"/>
  <c r="G21"/>
  <c r="I21"/>
  <c r="D23"/>
  <c r="F23"/>
  <c r="H23"/>
  <c r="D18"/>
  <c r="F18"/>
  <c r="H18"/>
  <c r="F21"/>
  <c r="E23"/>
  <c r="C23" i="4"/>
  <c r="C43" s="1"/>
  <c r="F22"/>
  <c r="H22"/>
  <c r="E43"/>
  <c r="G43"/>
  <c r="E41"/>
  <c r="G41"/>
  <c r="D43"/>
  <c r="F43"/>
  <c r="H43"/>
  <c r="I23"/>
  <c r="H18"/>
  <c r="E18"/>
  <c r="G18"/>
  <c r="E39" i="9" l="1"/>
  <c r="G53"/>
  <c r="H53"/>
  <c r="F53"/>
  <c r="C37"/>
  <c r="I37" i="8"/>
  <c r="I41"/>
  <c r="I43"/>
  <c r="D53"/>
  <c r="I37" i="7"/>
  <c r="I41"/>
  <c r="I43"/>
  <c r="C37"/>
  <c r="I41" i="6"/>
  <c r="I43"/>
  <c r="F41" i="5"/>
  <c r="F22"/>
  <c r="G22"/>
  <c r="C21"/>
  <c r="I22"/>
  <c r="E41"/>
  <c r="E22"/>
  <c r="G23"/>
  <c r="G43" s="1"/>
  <c r="H21"/>
  <c r="H43" s="1"/>
  <c r="D21"/>
  <c r="F43"/>
  <c r="E43"/>
  <c r="I43" i="4"/>
  <c r="I41"/>
  <c r="I18" i="1"/>
  <c r="H18"/>
  <c r="G18"/>
  <c r="F18"/>
  <c r="E18"/>
  <c r="D18"/>
  <c r="C19"/>
  <c r="C18"/>
  <c r="F55" i="9" l="1"/>
  <c r="F59" s="1"/>
  <c r="E57"/>
  <c r="E61" s="1"/>
  <c r="D53"/>
  <c r="C53" s="1"/>
  <c r="C51"/>
  <c r="D59"/>
  <c r="D48" s="1"/>
  <c r="I51" i="8"/>
  <c r="C37"/>
  <c r="D41" i="5"/>
  <c r="I23"/>
  <c r="C23"/>
  <c r="D22"/>
  <c r="C43"/>
  <c r="G41"/>
  <c r="H41"/>
  <c r="H22"/>
  <c r="D43"/>
  <c r="E47" i="9" l="1"/>
  <c r="E48" s="1"/>
  <c r="F39"/>
  <c r="I53" i="8"/>
  <c r="C53" s="1"/>
  <c r="C51"/>
  <c r="I41" i="5"/>
  <c r="I43"/>
  <c r="G55" i="9" l="1"/>
  <c r="G59" s="1"/>
  <c r="F57"/>
  <c r="F61" s="1"/>
  <c r="F47" l="1"/>
  <c r="F48" s="1"/>
  <c r="G39"/>
  <c r="H55" l="1"/>
  <c r="H59" s="1"/>
  <c r="G57"/>
  <c r="G61" s="1"/>
  <c r="G47" l="1"/>
  <c r="G48" s="1"/>
  <c r="H39"/>
  <c r="I55" l="1"/>
  <c r="I59" s="1"/>
  <c r="H57"/>
  <c r="H61" s="1"/>
  <c r="H47" l="1"/>
  <c r="H48" s="1"/>
  <c r="I39"/>
  <c r="I57" s="1"/>
  <c r="C57" s="1"/>
  <c r="C61" s="1"/>
  <c r="C47" l="1"/>
  <c r="C16" s="1"/>
  <c r="I61"/>
  <c r="I47" l="1"/>
  <c r="I48" s="1"/>
  <c r="C48"/>
</calcChain>
</file>

<file path=xl/sharedStrings.xml><?xml version="1.0" encoding="utf-8"?>
<sst xmlns="http://schemas.openxmlformats.org/spreadsheetml/2006/main" count="581" uniqueCount="74">
  <si>
    <t>Season</t>
  </si>
  <si>
    <t xml:space="preserve">Retail Values </t>
  </si>
  <si>
    <t>Cost Values</t>
  </si>
  <si>
    <t>Sales Increases/Decrease</t>
  </si>
  <si>
    <t>IMU (Initial Markup)</t>
  </si>
  <si>
    <t>Markdowns</t>
  </si>
  <si>
    <t>Sales Discounts</t>
  </si>
  <si>
    <t>Shinkage</t>
  </si>
  <si>
    <t>Operating Expenses</t>
  </si>
  <si>
    <t>Operating Profit</t>
  </si>
  <si>
    <t>Alterations /Workroom Expense</t>
  </si>
  <si>
    <t>Earned Cash Discounts</t>
  </si>
  <si>
    <t>Stock Turnover #</t>
  </si>
  <si>
    <t>Freight</t>
  </si>
  <si>
    <t>Maintained Markup Projection</t>
  </si>
  <si>
    <t>GMROI $</t>
  </si>
  <si>
    <t>Sales $</t>
  </si>
  <si>
    <t>Sales %</t>
  </si>
  <si>
    <t>BOM $</t>
  </si>
  <si>
    <t>Stock/Sales Ratio #</t>
  </si>
  <si>
    <t>EOM $</t>
  </si>
  <si>
    <t>Markdown $</t>
  </si>
  <si>
    <t>Markdown % of Sales</t>
  </si>
  <si>
    <t>Markdown Distribution %</t>
  </si>
  <si>
    <t>Sales Discounts $</t>
  </si>
  <si>
    <t>Discount % of Sales</t>
  </si>
  <si>
    <t>Discount Distribution %</t>
  </si>
  <si>
    <t>Shinkage $</t>
  </si>
  <si>
    <t>Shrinkage % of Sales</t>
  </si>
  <si>
    <t>Shrinkage Distribution %</t>
  </si>
  <si>
    <t>Purchase@ Retail $</t>
  </si>
  <si>
    <t>Cumulative Markup %</t>
  </si>
  <si>
    <t>Average Inventory $</t>
  </si>
  <si>
    <t>Total Goods Handled @ Retail $</t>
  </si>
  <si>
    <t>Gross Margin $</t>
  </si>
  <si>
    <t>Gross Margin %</t>
  </si>
  <si>
    <t xml:space="preserve">Purchase@ Cost $ </t>
  </si>
  <si>
    <t>Freight Cost $</t>
  </si>
  <si>
    <t>BOM Cost $</t>
  </si>
  <si>
    <t>EOM Cost $</t>
  </si>
  <si>
    <t>Total Goods Handled @ Cost $</t>
  </si>
  <si>
    <t>Cost of Goods Sold $</t>
  </si>
  <si>
    <t>SIX-MONTH MERCHANDISE BUDGET FOR A BASIC PRODUCT</t>
  </si>
  <si>
    <t>Spring 2011</t>
  </si>
  <si>
    <t>Planned</t>
  </si>
  <si>
    <t>%</t>
  </si>
  <si>
    <t>LY</t>
  </si>
  <si>
    <t>Seasons/Total</t>
  </si>
  <si>
    <t>FEB</t>
  </si>
  <si>
    <t>MAR</t>
  </si>
  <si>
    <t>APR</t>
  </si>
  <si>
    <t>MAY</t>
  </si>
  <si>
    <t>JUN</t>
  </si>
  <si>
    <t>JUL</t>
  </si>
  <si>
    <t xml:space="preserve">Average Sales </t>
  </si>
  <si>
    <t>Cost $</t>
  </si>
  <si>
    <t>Retail $</t>
  </si>
  <si>
    <t>Markup %</t>
  </si>
  <si>
    <t>% of Sales</t>
  </si>
  <si>
    <t>Cumulative Markup</t>
  </si>
  <si>
    <t>Beginning Inventory</t>
  </si>
  <si>
    <t>Purchases</t>
  </si>
  <si>
    <t>Sales</t>
  </si>
  <si>
    <t>Shrinkage</t>
  </si>
  <si>
    <t>Total Retial Reductions</t>
  </si>
  <si>
    <t>Ending Inventory</t>
  </si>
  <si>
    <t>Cost of Goods Sold</t>
  </si>
  <si>
    <t>Maintained Markup</t>
  </si>
  <si>
    <t>Gross Cost of Goods Sold</t>
  </si>
  <si>
    <t>Alteration Expense</t>
  </si>
  <si>
    <t>Total Cost of Goods Sold</t>
  </si>
  <si>
    <t>Gross Margin</t>
  </si>
  <si>
    <t>Operating Expense</t>
  </si>
  <si>
    <t>Total Merchandise Handled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</si>
</sst>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164" formatCode="0.0%"/>
    <numFmt numFmtId="165" formatCode="&quot;$&quot;#,##0;[Red]&quot;$&quot;#,##0"/>
    <numFmt numFmtId="166" formatCode="&quot;$&quot;#,##0"/>
    <numFmt numFmtId="167" formatCode="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2" fontId="4" fillId="2" borderId="0" xfId="1" applyNumberFormat="1" applyFont="1" applyFill="1" applyAlignment="1">
      <alignment horizontal="center" vertical="center"/>
    </xf>
    <xf numFmtId="166" fontId="2" fillId="0" borderId="0" xfId="0" applyNumberFormat="1" applyFont="1"/>
    <xf numFmtId="166" fontId="4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7" fontId="4" fillId="0" borderId="0" xfId="1" applyNumberFormat="1" applyFont="1" applyAlignment="1">
      <alignment horizontal="center" vertical="center"/>
    </xf>
    <xf numFmtId="0" fontId="8" fillId="0" borderId="0" xfId="0" applyFont="1"/>
    <xf numFmtId="6" fontId="8" fillId="0" borderId="0" xfId="0" applyNumberFormat="1" applyFont="1"/>
    <xf numFmtId="164" fontId="8" fillId="0" borderId="0" xfId="0" applyNumberFormat="1" applyFont="1"/>
    <xf numFmtId="166" fontId="8" fillId="0" borderId="0" xfId="0" applyNumberFormat="1" applyFont="1"/>
    <xf numFmtId="166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textRotation="9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workbookViewId="0">
      <selection activeCell="C21" sqref="C21"/>
    </sheetView>
  </sheetViews>
  <sheetFormatPr defaultRowHeight="15"/>
  <cols>
    <col min="1" max="1" width="4.7109375" customWidth="1"/>
    <col min="2" max="2" width="35.7109375" customWidth="1"/>
    <col min="3" max="9" width="17.7109375" style="1" customWidth="1"/>
  </cols>
  <sheetData>
    <row r="1" spans="1:9" ht="18" customHeight="1">
      <c r="A1" s="23" t="s">
        <v>42</v>
      </c>
      <c r="B1" s="23"/>
      <c r="C1" s="23"/>
      <c r="D1" s="23"/>
      <c r="E1" s="23"/>
      <c r="F1" s="23"/>
      <c r="G1" s="23"/>
      <c r="H1" s="23"/>
      <c r="I1" s="23"/>
    </row>
    <row r="2" spans="1:9" ht="18.75">
      <c r="A2" s="24" t="s">
        <v>43</v>
      </c>
      <c r="B2" s="25"/>
      <c r="C2" s="25"/>
      <c r="D2" s="25"/>
      <c r="E2" s="25"/>
      <c r="F2" s="25"/>
      <c r="G2" s="25"/>
      <c r="H2" s="25"/>
      <c r="I2" s="25"/>
    </row>
    <row r="3" spans="1:9" ht="18" customHeight="1">
      <c r="A3" s="22" t="s">
        <v>0</v>
      </c>
      <c r="B3" s="3" t="s">
        <v>44</v>
      </c>
      <c r="C3" s="3" t="s">
        <v>45</v>
      </c>
      <c r="D3" s="3" t="s">
        <v>46</v>
      </c>
    </row>
    <row r="4" spans="1:9" ht="18">
      <c r="A4" s="22"/>
      <c r="B4" s="2" t="s">
        <v>3</v>
      </c>
      <c r="C4" s="5">
        <v>0.05</v>
      </c>
      <c r="D4" s="6">
        <v>250000</v>
      </c>
    </row>
    <row r="5" spans="1:9" ht="18">
      <c r="A5" s="22"/>
      <c r="B5" s="2" t="s">
        <v>4</v>
      </c>
      <c r="C5" s="5"/>
    </row>
    <row r="6" spans="1:9" ht="18">
      <c r="A6" s="22"/>
      <c r="B6" s="2" t="s">
        <v>5</v>
      </c>
      <c r="C6" s="5"/>
    </row>
    <row r="7" spans="1:9" ht="18">
      <c r="A7" s="22"/>
      <c r="B7" s="2" t="s">
        <v>6</v>
      </c>
      <c r="C7" s="5"/>
    </row>
    <row r="8" spans="1:9" ht="18">
      <c r="A8" s="22"/>
      <c r="B8" s="2" t="s">
        <v>7</v>
      </c>
      <c r="C8" s="5"/>
    </row>
    <row r="9" spans="1:9" ht="18">
      <c r="A9" s="22"/>
      <c r="B9" s="2" t="s">
        <v>8</v>
      </c>
      <c r="C9" s="5"/>
    </row>
    <row r="10" spans="1:9" ht="18">
      <c r="A10" s="22"/>
      <c r="B10" s="2" t="s">
        <v>9</v>
      </c>
      <c r="C10" s="5"/>
    </row>
    <row r="11" spans="1:9" ht="18">
      <c r="A11" s="22"/>
      <c r="B11" s="2" t="s">
        <v>10</v>
      </c>
      <c r="C11" s="5"/>
    </row>
    <row r="12" spans="1:9" ht="18">
      <c r="A12" s="22"/>
      <c r="B12" s="2" t="s">
        <v>11</v>
      </c>
      <c r="C12" s="5"/>
    </row>
    <row r="13" spans="1:9" ht="18">
      <c r="A13" s="22"/>
      <c r="B13" s="2" t="s">
        <v>12</v>
      </c>
      <c r="C13" s="7"/>
    </row>
    <row r="14" spans="1:9" ht="18">
      <c r="A14" s="22"/>
      <c r="B14" s="2" t="s">
        <v>13</v>
      </c>
      <c r="C14" s="5"/>
    </row>
    <row r="15" spans="1:9" ht="18">
      <c r="A15" s="22"/>
      <c r="B15" s="2" t="s">
        <v>14</v>
      </c>
      <c r="C15" s="5"/>
    </row>
    <row r="16" spans="1:9" ht="18">
      <c r="A16" s="22"/>
      <c r="B16" s="2" t="s">
        <v>15</v>
      </c>
      <c r="C16" s="6"/>
    </row>
    <row r="17" spans="1:9" ht="18">
      <c r="A17" s="22" t="s">
        <v>1</v>
      </c>
      <c r="B17" s="3"/>
      <c r="C17" s="4" t="s">
        <v>47</v>
      </c>
      <c r="D17" s="3" t="s">
        <v>48</v>
      </c>
      <c r="E17" s="3" t="s">
        <v>49</v>
      </c>
      <c r="F17" s="3" t="s">
        <v>50</v>
      </c>
      <c r="G17" s="3" t="s">
        <v>51</v>
      </c>
      <c r="H17" s="3" t="s">
        <v>52</v>
      </c>
      <c r="I17" s="3" t="s">
        <v>53</v>
      </c>
    </row>
    <row r="18" spans="1:9" ht="18">
      <c r="A18" s="22"/>
      <c r="B18" s="2" t="s">
        <v>16</v>
      </c>
      <c r="C18" s="6">
        <f>D4+(D4*C4)</f>
        <v>262500</v>
      </c>
      <c r="D18" s="6">
        <f>D19*$C$18</f>
        <v>42262.5</v>
      </c>
      <c r="E18" s="6">
        <f t="shared" ref="E18:I18" si="0">E19*$C$18</f>
        <v>45412.5</v>
      </c>
      <c r="F18" s="6">
        <f t="shared" si="0"/>
        <v>43050</v>
      </c>
      <c r="G18" s="6">
        <f t="shared" si="0"/>
        <v>44625</v>
      </c>
      <c r="H18" s="6">
        <f t="shared" si="0"/>
        <v>43837.5</v>
      </c>
      <c r="I18" s="6">
        <f t="shared" si="0"/>
        <v>43312.5</v>
      </c>
    </row>
    <row r="19" spans="1:9" ht="18">
      <c r="A19" s="22"/>
      <c r="B19" s="2" t="s">
        <v>17</v>
      </c>
      <c r="C19" s="5">
        <f>SUM(D19:I19)</f>
        <v>1</v>
      </c>
      <c r="D19" s="5">
        <v>0.161</v>
      </c>
      <c r="E19" s="5">
        <v>0.17299999999999999</v>
      </c>
      <c r="F19" s="5">
        <v>0.16400000000000001</v>
      </c>
      <c r="G19" s="5">
        <v>0.17</v>
      </c>
      <c r="H19" s="5">
        <v>0.16700000000000001</v>
      </c>
      <c r="I19" s="5">
        <v>0.16500000000000001</v>
      </c>
    </row>
    <row r="20" spans="1:9" ht="18">
      <c r="A20" s="22"/>
      <c r="B20" s="2"/>
    </row>
    <row r="21" spans="1:9" ht="18">
      <c r="A21" s="22"/>
      <c r="B21" s="2" t="s">
        <v>18</v>
      </c>
      <c r="C21" s="6"/>
      <c r="D21" s="6"/>
      <c r="E21" s="6"/>
      <c r="F21" s="6"/>
      <c r="G21" s="6"/>
      <c r="H21" s="6"/>
      <c r="I21" s="6"/>
    </row>
    <row r="22" spans="1:9" ht="18">
      <c r="A22" s="22"/>
      <c r="B22" s="2" t="s">
        <v>19</v>
      </c>
      <c r="C22" s="8"/>
      <c r="D22" s="7"/>
      <c r="E22" s="7"/>
      <c r="F22" s="7"/>
      <c r="G22" s="7"/>
      <c r="H22" s="7"/>
      <c r="I22" s="7"/>
    </row>
    <row r="23" spans="1:9" ht="18">
      <c r="A23" s="22"/>
      <c r="B23" s="2" t="s">
        <v>20</v>
      </c>
      <c r="C23" s="6"/>
      <c r="D23" s="6"/>
      <c r="E23" s="6"/>
      <c r="F23" s="6"/>
      <c r="G23" s="6"/>
      <c r="H23" s="6"/>
      <c r="I23" s="6"/>
    </row>
    <row r="24" spans="1:9" ht="18">
      <c r="A24" s="22"/>
      <c r="B24" s="2"/>
    </row>
    <row r="25" spans="1:9" ht="18">
      <c r="A25" s="22"/>
      <c r="B25" s="2" t="s">
        <v>21</v>
      </c>
      <c r="C25" s="6"/>
      <c r="D25" s="6"/>
      <c r="E25" s="6"/>
      <c r="F25" s="6"/>
      <c r="G25" s="6"/>
      <c r="H25" s="6"/>
      <c r="I25" s="6"/>
    </row>
    <row r="26" spans="1:9" ht="18">
      <c r="A26" s="22"/>
      <c r="B26" s="2" t="s">
        <v>22</v>
      </c>
      <c r="C26" s="5"/>
      <c r="D26" s="5"/>
      <c r="E26" s="5"/>
      <c r="F26" s="5"/>
      <c r="G26" s="5"/>
      <c r="H26" s="5"/>
      <c r="I26" s="5"/>
    </row>
    <row r="27" spans="1:9" ht="18">
      <c r="A27" s="22"/>
      <c r="B27" s="2" t="s">
        <v>23</v>
      </c>
      <c r="C27" s="5"/>
      <c r="D27" s="5"/>
      <c r="E27" s="5"/>
      <c r="F27" s="5"/>
      <c r="G27" s="5"/>
      <c r="H27" s="5"/>
      <c r="I27" s="5"/>
    </row>
    <row r="28" spans="1:9" ht="18">
      <c r="A28" s="22"/>
      <c r="B28" s="2"/>
    </row>
    <row r="29" spans="1:9" ht="18">
      <c r="A29" s="22"/>
      <c r="B29" s="2" t="s">
        <v>24</v>
      </c>
      <c r="C29" s="6"/>
      <c r="D29" s="6"/>
      <c r="E29" s="6"/>
      <c r="F29" s="6"/>
      <c r="G29" s="6"/>
      <c r="H29" s="6"/>
      <c r="I29" s="6"/>
    </row>
    <row r="30" spans="1:9" ht="18">
      <c r="A30" s="22"/>
      <c r="B30" s="2" t="s">
        <v>25</v>
      </c>
      <c r="C30" s="5"/>
      <c r="D30" s="5"/>
      <c r="E30" s="5"/>
      <c r="F30" s="5"/>
      <c r="G30" s="5"/>
      <c r="H30" s="5"/>
      <c r="I30" s="5"/>
    </row>
    <row r="31" spans="1:9" ht="18">
      <c r="A31" s="22"/>
      <c r="B31" s="2" t="s">
        <v>26</v>
      </c>
      <c r="C31" s="5"/>
      <c r="D31" s="5"/>
      <c r="E31" s="5"/>
      <c r="F31" s="5"/>
      <c r="G31" s="5"/>
      <c r="H31" s="5"/>
      <c r="I31" s="5"/>
    </row>
    <row r="32" spans="1:9" ht="18">
      <c r="A32" s="22"/>
      <c r="B32" s="2"/>
    </row>
    <row r="33" spans="1:9" ht="18">
      <c r="A33" s="22"/>
      <c r="B33" s="2" t="s">
        <v>27</v>
      </c>
      <c r="C33" s="6"/>
      <c r="D33" s="6"/>
      <c r="E33" s="6"/>
      <c r="F33" s="6"/>
      <c r="G33" s="6"/>
      <c r="H33" s="6"/>
      <c r="I33" s="6"/>
    </row>
    <row r="34" spans="1:9" ht="18">
      <c r="A34" s="22"/>
      <c r="B34" s="2" t="s">
        <v>28</v>
      </c>
      <c r="C34" s="5"/>
      <c r="D34" s="5"/>
      <c r="E34" s="5"/>
      <c r="F34" s="5"/>
      <c r="G34" s="5"/>
      <c r="H34" s="5"/>
      <c r="I34" s="5"/>
    </row>
    <row r="35" spans="1:9" ht="18">
      <c r="A35" s="22"/>
      <c r="B35" s="2" t="s">
        <v>29</v>
      </c>
      <c r="C35" s="5"/>
      <c r="D35" s="5"/>
      <c r="E35" s="5"/>
      <c r="F35" s="5"/>
      <c r="G35" s="5"/>
      <c r="H35" s="5"/>
      <c r="I35" s="5"/>
    </row>
    <row r="36" spans="1:9" ht="18">
      <c r="A36" s="22"/>
      <c r="B36" s="2"/>
    </row>
    <row r="37" spans="1:9" ht="18">
      <c r="A37" s="22"/>
      <c r="B37" s="2" t="s">
        <v>30</v>
      </c>
      <c r="C37" s="6"/>
      <c r="D37" s="6"/>
      <c r="E37" s="6"/>
      <c r="F37" s="6"/>
      <c r="G37" s="6"/>
      <c r="H37" s="6"/>
      <c r="I37" s="6"/>
    </row>
    <row r="38" spans="1:9" ht="18">
      <c r="A38" s="22"/>
      <c r="B38" s="2"/>
    </row>
    <row r="39" spans="1:9" ht="18">
      <c r="A39" s="22"/>
      <c r="B39" s="2" t="s">
        <v>31</v>
      </c>
      <c r="C39" s="5"/>
      <c r="D39" s="5"/>
      <c r="E39" s="5"/>
      <c r="F39" s="5"/>
      <c r="G39" s="5"/>
      <c r="H39" s="5"/>
      <c r="I39" s="5"/>
    </row>
    <row r="40" spans="1:9" ht="18">
      <c r="A40" s="22"/>
      <c r="B40" s="2"/>
    </row>
    <row r="41" spans="1:9" ht="18">
      <c r="A41" s="22"/>
      <c r="B41" s="2" t="s">
        <v>32</v>
      </c>
      <c r="C41" s="6"/>
      <c r="D41" s="6"/>
      <c r="E41" s="6"/>
      <c r="F41" s="6"/>
      <c r="G41" s="6"/>
      <c r="H41" s="6"/>
      <c r="I41" s="6"/>
    </row>
    <row r="42" spans="1:9" ht="18">
      <c r="A42" s="22"/>
      <c r="B42" s="2"/>
    </row>
    <row r="43" spans="1:9" ht="18">
      <c r="A43" s="22"/>
      <c r="B43" s="2" t="s">
        <v>12</v>
      </c>
      <c r="C43" s="7"/>
      <c r="D43" s="7"/>
      <c r="E43" s="7"/>
      <c r="F43" s="7"/>
      <c r="G43" s="7"/>
      <c r="H43" s="7"/>
      <c r="I43" s="7"/>
    </row>
    <row r="44" spans="1:9" ht="18">
      <c r="A44" s="22"/>
      <c r="B44" s="2"/>
    </row>
    <row r="45" spans="1:9" ht="18">
      <c r="A45" s="22"/>
      <c r="B45" s="2" t="s">
        <v>33</v>
      </c>
      <c r="C45" s="6"/>
      <c r="D45" s="6"/>
      <c r="E45" s="6"/>
      <c r="F45" s="6"/>
      <c r="G45" s="6"/>
      <c r="H45" s="6"/>
      <c r="I45" s="6"/>
    </row>
    <row r="46" spans="1:9" ht="18">
      <c r="A46" s="22"/>
      <c r="B46" s="2"/>
    </row>
    <row r="47" spans="1:9" ht="18">
      <c r="A47" s="22"/>
      <c r="B47" s="2" t="s">
        <v>34</v>
      </c>
      <c r="C47" s="6"/>
      <c r="D47" s="6"/>
      <c r="E47" s="6"/>
      <c r="F47" s="6"/>
      <c r="G47" s="6"/>
      <c r="H47" s="6"/>
      <c r="I47" s="6"/>
    </row>
    <row r="48" spans="1:9" ht="18">
      <c r="A48" s="22"/>
      <c r="B48" s="2" t="s">
        <v>35</v>
      </c>
      <c r="C48" s="5"/>
      <c r="D48" s="5"/>
      <c r="E48" s="5"/>
      <c r="F48" s="5"/>
      <c r="G48" s="5"/>
      <c r="H48" s="5"/>
      <c r="I48" s="5"/>
    </row>
    <row r="49" spans="1:9" ht="18">
      <c r="A49" s="22"/>
      <c r="B49" s="2"/>
    </row>
    <row r="50" spans="1:9" ht="18">
      <c r="A50" s="22" t="s">
        <v>2</v>
      </c>
      <c r="B50" s="3"/>
      <c r="C50" s="4" t="s">
        <v>47</v>
      </c>
      <c r="D50" s="3" t="s">
        <v>48</v>
      </c>
      <c r="E50" s="3" t="s">
        <v>49</v>
      </c>
      <c r="F50" s="3" t="s">
        <v>50</v>
      </c>
      <c r="G50" s="3" t="s">
        <v>51</v>
      </c>
      <c r="H50" s="3" t="s">
        <v>52</v>
      </c>
      <c r="I50" s="3" t="s">
        <v>53</v>
      </c>
    </row>
    <row r="51" spans="1:9" ht="18">
      <c r="A51" s="22"/>
      <c r="B51" s="2" t="s">
        <v>36</v>
      </c>
      <c r="C51" s="6"/>
      <c r="D51" s="6"/>
      <c r="E51" s="6"/>
      <c r="F51" s="6"/>
      <c r="G51" s="6"/>
      <c r="H51" s="6"/>
      <c r="I51" s="6"/>
    </row>
    <row r="52" spans="1:9" ht="18">
      <c r="A52" s="22"/>
      <c r="B52" s="2"/>
    </row>
    <row r="53" spans="1:9" ht="18">
      <c r="A53" s="22"/>
      <c r="B53" s="2" t="s">
        <v>37</v>
      </c>
      <c r="C53" s="6"/>
      <c r="D53" s="6"/>
      <c r="E53" s="6"/>
      <c r="F53" s="6"/>
      <c r="G53" s="6"/>
      <c r="H53" s="6"/>
      <c r="I53" s="6"/>
    </row>
    <row r="54" spans="1:9" ht="18">
      <c r="A54" s="22"/>
      <c r="B54" s="2"/>
    </row>
    <row r="55" spans="1:9" ht="18">
      <c r="A55" s="22"/>
      <c r="B55" s="2" t="s">
        <v>38</v>
      </c>
      <c r="C55" s="6"/>
      <c r="D55" s="6"/>
      <c r="E55" s="6"/>
      <c r="F55" s="6"/>
      <c r="G55" s="6"/>
      <c r="H55" s="6"/>
      <c r="I55" s="6"/>
    </row>
    <row r="56" spans="1:9" ht="18">
      <c r="A56" s="22"/>
      <c r="B56" s="2"/>
    </row>
    <row r="57" spans="1:9" ht="18">
      <c r="A57" s="22"/>
      <c r="B57" s="2" t="s">
        <v>39</v>
      </c>
      <c r="C57" s="6"/>
      <c r="D57" s="6"/>
      <c r="E57" s="6"/>
      <c r="F57" s="6"/>
      <c r="G57" s="6"/>
      <c r="H57" s="6"/>
      <c r="I57" s="6"/>
    </row>
    <row r="58" spans="1:9" ht="18">
      <c r="A58" s="22"/>
      <c r="B58" s="2"/>
    </row>
    <row r="59" spans="1:9" ht="18">
      <c r="A59" s="22"/>
      <c r="B59" s="2" t="s">
        <v>40</v>
      </c>
      <c r="C59" s="6"/>
      <c r="D59" s="6"/>
      <c r="E59" s="6"/>
      <c r="F59" s="6"/>
      <c r="G59" s="6"/>
      <c r="H59" s="6"/>
      <c r="I59" s="6"/>
    </row>
    <row r="60" spans="1:9" ht="18">
      <c r="A60" s="22"/>
      <c r="B60" s="2"/>
    </row>
    <row r="61" spans="1:9" ht="18">
      <c r="A61" s="22"/>
      <c r="B61" s="2" t="s">
        <v>41</v>
      </c>
      <c r="C61" s="6"/>
      <c r="D61" s="6"/>
      <c r="E61" s="6"/>
      <c r="F61" s="6"/>
      <c r="G61" s="6"/>
      <c r="H61" s="6"/>
      <c r="I61" s="6"/>
    </row>
  </sheetData>
  <mergeCells count="5">
    <mergeCell ref="A3:A16"/>
    <mergeCell ref="A17:A49"/>
    <mergeCell ref="A50:A61"/>
    <mergeCell ref="A1:I1"/>
    <mergeCell ref="A2:I2"/>
  </mergeCells>
  <printOptions horizontalCentered="1" gridLines="1"/>
  <pageMargins left="0" right="0" top="0.75" bottom="0.25" header="0.5" footer="0.5"/>
  <pageSetup scale="60" orientation="portrait" r:id="rId1"/>
  <headerFooter>
    <oddHeader>&amp;LZara Black&amp;C&amp;D&amp;R&amp;T</oddHeader>
    <oddFooter>&amp;C&amp;A
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61"/>
  <sheetViews>
    <sheetView topLeftCell="A25" workbookViewId="0">
      <selection activeCell="C31" sqref="C31"/>
    </sheetView>
  </sheetViews>
  <sheetFormatPr defaultRowHeight="15"/>
  <cols>
    <col min="1" max="1" width="4.7109375" customWidth="1"/>
    <col min="2" max="2" width="35.7109375" customWidth="1"/>
    <col min="3" max="3" width="17.7109375" style="1" customWidth="1"/>
    <col min="4" max="4" width="18.5703125" style="1" customWidth="1"/>
    <col min="5" max="9" width="17.7109375" style="1" customWidth="1"/>
  </cols>
  <sheetData>
    <row r="1" spans="1:9" ht="18" customHeight="1">
      <c r="A1" s="23" t="s">
        <v>42</v>
      </c>
      <c r="B1" s="23"/>
      <c r="C1" s="23"/>
      <c r="D1" s="23"/>
      <c r="E1" s="23"/>
      <c r="F1" s="23"/>
      <c r="G1" s="23"/>
      <c r="H1" s="23"/>
      <c r="I1" s="23"/>
    </row>
    <row r="2" spans="1:9" ht="18.75">
      <c r="A2" s="24" t="s">
        <v>43</v>
      </c>
      <c r="B2" s="25"/>
      <c r="C2" s="25"/>
      <c r="D2" s="25"/>
      <c r="E2" s="25"/>
      <c r="F2" s="25"/>
      <c r="G2" s="25"/>
      <c r="H2" s="25"/>
      <c r="I2" s="25"/>
    </row>
    <row r="3" spans="1:9" ht="18" customHeight="1">
      <c r="A3" s="22" t="s">
        <v>0</v>
      </c>
      <c r="B3" s="3" t="s">
        <v>44</v>
      </c>
      <c r="C3" s="3" t="s">
        <v>45</v>
      </c>
      <c r="D3" s="3" t="s">
        <v>46</v>
      </c>
    </row>
    <row r="4" spans="1:9" ht="18">
      <c r="A4" s="22"/>
      <c r="B4" s="2" t="s">
        <v>3</v>
      </c>
      <c r="C4" s="5">
        <v>0.05</v>
      </c>
      <c r="D4" s="6">
        <v>250000</v>
      </c>
    </row>
    <row r="5" spans="1:9" ht="18">
      <c r="A5" s="22"/>
      <c r="B5" s="2" t="s">
        <v>4</v>
      </c>
      <c r="C5" s="5"/>
    </row>
    <row r="6" spans="1:9" ht="18">
      <c r="A6" s="22"/>
      <c r="B6" s="2" t="s">
        <v>5</v>
      </c>
      <c r="C6" s="5"/>
    </row>
    <row r="7" spans="1:9" ht="18">
      <c r="A7" s="22"/>
      <c r="B7" s="2" t="s">
        <v>6</v>
      </c>
      <c r="C7" s="5"/>
    </row>
    <row r="8" spans="1:9" ht="18">
      <c r="A8" s="22"/>
      <c r="B8" s="2" t="s">
        <v>7</v>
      </c>
      <c r="C8" s="5"/>
    </row>
    <row r="9" spans="1:9" ht="18">
      <c r="A9" s="22"/>
      <c r="B9" s="2" t="s">
        <v>8</v>
      </c>
      <c r="C9" s="5"/>
    </row>
    <row r="10" spans="1:9" ht="18">
      <c r="A10" s="22"/>
      <c r="B10" s="2" t="s">
        <v>9</v>
      </c>
      <c r="C10" s="5"/>
    </row>
    <row r="11" spans="1:9" ht="18">
      <c r="A11" s="22"/>
      <c r="B11" s="2" t="s">
        <v>10</v>
      </c>
      <c r="C11" s="5"/>
    </row>
    <row r="12" spans="1:9" ht="18">
      <c r="A12" s="22"/>
      <c r="B12" s="2" t="s">
        <v>11</v>
      </c>
      <c r="C12" s="5"/>
    </row>
    <row r="13" spans="1:9" ht="18">
      <c r="A13" s="22"/>
      <c r="B13" s="2" t="s">
        <v>12</v>
      </c>
      <c r="C13" s="7">
        <v>3.5</v>
      </c>
    </row>
    <row r="14" spans="1:9" ht="18">
      <c r="A14" s="22"/>
      <c r="B14" s="2" t="s">
        <v>13</v>
      </c>
      <c r="C14" s="5"/>
    </row>
    <row r="15" spans="1:9" ht="18">
      <c r="A15" s="22"/>
      <c r="B15" s="2" t="s">
        <v>14</v>
      </c>
      <c r="C15" s="5"/>
    </row>
    <row r="16" spans="1:9" ht="18">
      <c r="A16" s="22"/>
      <c r="B16" s="2" t="s">
        <v>15</v>
      </c>
      <c r="C16" s="6"/>
    </row>
    <row r="17" spans="1:9" ht="18">
      <c r="A17" s="22" t="s">
        <v>1</v>
      </c>
      <c r="B17" s="3"/>
      <c r="C17" s="4" t="s">
        <v>47</v>
      </c>
      <c r="D17" s="3" t="s">
        <v>48</v>
      </c>
      <c r="E17" s="3" t="s">
        <v>49</v>
      </c>
      <c r="F17" s="3" t="s">
        <v>50</v>
      </c>
      <c r="G17" s="3" t="s">
        <v>51</v>
      </c>
      <c r="H17" s="3" t="s">
        <v>52</v>
      </c>
      <c r="I17" s="3" t="s">
        <v>53</v>
      </c>
    </row>
    <row r="18" spans="1:9" ht="18">
      <c r="A18" s="22"/>
      <c r="B18" s="2" t="s">
        <v>16</v>
      </c>
      <c r="C18" s="6">
        <f>D4+(D4*C4)</f>
        <v>262500</v>
      </c>
      <c r="D18" s="6">
        <f>D19*$C$18</f>
        <v>42262.5</v>
      </c>
      <c r="E18" s="6">
        <f t="shared" ref="E18:I18" si="0">E19*$C$18</f>
        <v>45412.5</v>
      </c>
      <c r="F18" s="6">
        <f t="shared" si="0"/>
        <v>43050</v>
      </c>
      <c r="G18" s="6">
        <f t="shared" si="0"/>
        <v>44625</v>
      </c>
      <c r="H18" s="6">
        <f t="shared" si="0"/>
        <v>43837.5</v>
      </c>
      <c r="I18" s="6">
        <f t="shared" si="0"/>
        <v>43312.5</v>
      </c>
    </row>
    <row r="19" spans="1:9" ht="18">
      <c r="A19" s="22"/>
      <c r="B19" s="2" t="s">
        <v>17</v>
      </c>
      <c r="C19" s="5">
        <f>SUM(D19:I19)</f>
        <v>1</v>
      </c>
      <c r="D19" s="5">
        <v>0.161</v>
      </c>
      <c r="E19" s="5">
        <v>0.17299999999999999</v>
      </c>
      <c r="F19" s="5">
        <v>0.16400000000000001</v>
      </c>
      <c r="G19" s="5">
        <v>0.17</v>
      </c>
      <c r="H19" s="5">
        <v>0.16700000000000001</v>
      </c>
      <c r="I19" s="5">
        <v>0.16500000000000001</v>
      </c>
    </row>
    <row r="20" spans="1:9" ht="18">
      <c r="A20" s="22"/>
      <c r="B20" s="11" t="s">
        <v>54</v>
      </c>
      <c r="D20" s="9"/>
    </row>
    <row r="21" spans="1:9" ht="18">
      <c r="A21" s="22"/>
      <c r="B21" s="2" t="s">
        <v>18</v>
      </c>
      <c r="C21" s="6">
        <f>($C$18/$C$13)*0.5*(1+(D18/($C$18/6)))</f>
        <v>73725</v>
      </c>
      <c r="D21" s="10">
        <f t="shared" ref="D21:I21" si="1">($C$18/$C$13)*0.5*(1+(D18/43750))</f>
        <v>73725</v>
      </c>
      <c r="E21" s="10">
        <f t="shared" si="1"/>
        <v>76425.000000000015</v>
      </c>
      <c r="F21" s="10">
        <f t="shared" si="1"/>
        <v>74400</v>
      </c>
      <c r="G21" s="10">
        <f t="shared" si="1"/>
        <v>75750</v>
      </c>
      <c r="H21" s="10">
        <f t="shared" si="1"/>
        <v>75074.999999999985</v>
      </c>
      <c r="I21" s="10">
        <f t="shared" si="1"/>
        <v>74625</v>
      </c>
    </row>
    <row r="22" spans="1:9" ht="18">
      <c r="A22" s="22"/>
      <c r="B22" s="2" t="s">
        <v>19</v>
      </c>
      <c r="C22" s="8"/>
      <c r="D22" s="12">
        <f>D21/D18</f>
        <v>1.7444543034605147</v>
      </c>
      <c r="E22" s="12">
        <f t="shared" ref="E22:I22" si="2">E21/E18</f>
        <v>1.6829066886870359</v>
      </c>
      <c r="F22" s="12">
        <f t="shared" si="2"/>
        <v>1.7282229965156795</v>
      </c>
      <c r="G22" s="12">
        <f t="shared" si="2"/>
        <v>1.6974789915966386</v>
      </c>
      <c r="H22" s="12">
        <f t="shared" si="2"/>
        <v>1.7125748502994009</v>
      </c>
      <c r="I22" s="12">
        <f t="shared" si="2"/>
        <v>1.722943722943723</v>
      </c>
    </row>
    <row r="23" spans="1:9" ht="18">
      <c r="A23" s="22"/>
      <c r="B23" s="2" t="s">
        <v>20</v>
      </c>
      <c r="C23" s="10">
        <f>AVERAGE(D21:I21)</f>
        <v>75000</v>
      </c>
      <c r="D23" s="10">
        <f>($C$18/$C$13)*0.5*(1+(E18/43750))</f>
        <v>76425.000000000015</v>
      </c>
      <c r="E23" s="10">
        <f>($C$18/$C$13)*0.5*(1+(F18/43750))</f>
        <v>74400</v>
      </c>
      <c r="F23" s="10">
        <f>($C$18/$C$13)*0.5*(1+(G18/43750))</f>
        <v>75750</v>
      </c>
      <c r="G23" s="10">
        <f>($C$18/$C$13)*0.5*(1+(H18/43750))</f>
        <v>75074.999999999985</v>
      </c>
      <c r="H23" s="10">
        <f>($C$18/$C$13)*0.5*(1+(I18/43750))</f>
        <v>74625</v>
      </c>
      <c r="I23" s="10">
        <f>AVERAGE(D21:I21)</f>
        <v>75000</v>
      </c>
    </row>
    <row r="24" spans="1:9" ht="18">
      <c r="A24" s="22"/>
      <c r="B24" s="2"/>
    </row>
    <row r="25" spans="1:9" ht="18">
      <c r="A25" s="22"/>
      <c r="B25" s="2" t="s">
        <v>21</v>
      </c>
      <c r="C25" s="6"/>
      <c r="D25" s="6"/>
      <c r="E25" s="6"/>
      <c r="F25" s="6"/>
      <c r="G25" s="6"/>
      <c r="H25" s="6"/>
      <c r="I25" s="6"/>
    </row>
    <row r="26" spans="1:9" ht="18">
      <c r="A26" s="22"/>
      <c r="B26" s="2" t="s">
        <v>22</v>
      </c>
      <c r="C26" s="5"/>
      <c r="D26" s="5"/>
      <c r="E26" s="5"/>
      <c r="F26" s="5"/>
      <c r="G26" s="5"/>
      <c r="H26" s="5"/>
      <c r="I26" s="5"/>
    </row>
    <row r="27" spans="1:9" ht="18">
      <c r="A27" s="22"/>
      <c r="B27" s="2" t="s">
        <v>23</v>
      </c>
      <c r="C27" s="5"/>
      <c r="D27" s="5"/>
      <c r="E27" s="5"/>
      <c r="F27" s="5"/>
      <c r="G27" s="5"/>
      <c r="H27" s="5"/>
      <c r="I27" s="5"/>
    </row>
    <row r="28" spans="1:9" ht="18">
      <c r="A28" s="22"/>
      <c r="B28" s="2"/>
    </row>
    <row r="29" spans="1:9" ht="18">
      <c r="A29" s="22"/>
      <c r="B29" s="2" t="s">
        <v>24</v>
      </c>
      <c r="C29" s="6"/>
      <c r="D29" s="6"/>
      <c r="E29" s="6"/>
      <c r="F29" s="6"/>
      <c r="G29" s="6"/>
      <c r="H29" s="6"/>
      <c r="I29" s="6"/>
    </row>
    <row r="30" spans="1:9" ht="18">
      <c r="A30" s="22"/>
      <c r="B30" s="2" t="s">
        <v>25</v>
      </c>
      <c r="C30" s="5"/>
      <c r="D30" s="5"/>
      <c r="E30" s="5"/>
      <c r="F30" s="5"/>
      <c r="G30" s="5"/>
      <c r="H30" s="5"/>
      <c r="I30" s="5"/>
    </row>
    <row r="31" spans="1:9" ht="18">
      <c r="A31" s="22"/>
      <c r="B31" s="2" t="s">
        <v>26</v>
      </c>
      <c r="C31" s="5"/>
      <c r="D31" s="5"/>
      <c r="E31" s="5"/>
      <c r="F31" s="5"/>
      <c r="G31" s="5"/>
      <c r="H31" s="5"/>
      <c r="I31" s="5"/>
    </row>
    <row r="32" spans="1:9" ht="18">
      <c r="A32" s="22"/>
      <c r="B32" s="2"/>
    </row>
    <row r="33" spans="1:9" ht="18">
      <c r="A33" s="22"/>
      <c r="B33" s="2" t="s">
        <v>27</v>
      </c>
      <c r="C33" s="6"/>
      <c r="D33" s="6"/>
      <c r="E33" s="6"/>
      <c r="F33" s="6"/>
      <c r="G33" s="6"/>
      <c r="H33" s="6"/>
      <c r="I33" s="6"/>
    </row>
    <row r="34" spans="1:9" ht="18">
      <c r="A34" s="22"/>
      <c r="B34" s="2" t="s">
        <v>28</v>
      </c>
      <c r="C34" s="5"/>
      <c r="D34" s="5"/>
      <c r="E34" s="5"/>
      <c r="F34" s="5"/>
      <c r="G34" s="5"/>
      <c r="H34" s="5"/>
      <c r="I34" s="5"/>
    </row>
    <row r="35" spans="1:9" ht="18">
      <c r="A35" s="22"/>
      <c r="B35" s="2" t="s">
        <v>29</v>
      </c>
      <c r="C35" s="5"/>
      <c r="D35" s="5"/>
      <c r="E35" s="5"/>
      <c r="F35" s="5"/>
      <c r="G35" s="5"/>
      <c r="H35" s="5"/>
      <c r="I35" s="5"/>
    </row>
    <row r="36" spans="1:9" ht="18">
      <c r="A36" s="22"/>
      <c r="B36" s="2"/>
    </row>
    <row r="37" spans="1:9" ht="18">
      <c r="A37" s="22"/>
      <c r="B37" s="2" t="s">
        <v>30</v>
      </c>
      <c r="C37" s="6"/>
      <c r="D37" s="6"/>
      <c r="E37" s="6"/>
      <c r="F37" s="6"/>
      <c r="G37" s="6"/>
      <c r="H37" s="6"/>
      <c r="I37" s="6"/>
    </row>
    <row r="38" spans="1:9" ht="18">
      <c r="A38" s="22"/>
      <c r="B38" s="2"/>
    </row>
    <row r="39" spans="1:9" ht="18">
      <c r="A39" s="22"/>
      <c r="B39" s="2" t="s">
        <v>31</v>
      </c>
      <c r="C39" s="5"/>
      <c r="D39" s="5"/>
      <c r="E39" s="5"/>
      <c r="F39" s="5"/>
      <c r="G39" s="5"/>
      <c r="H39" s="5"/>
      <c r="I39" s="5"/>
    </row>
    <row r="40" spans="1:9" ht="18">
      <c r="A40" s="22"/>
      <c r="B40" s="2"/>
    </row>
    <row r="41" spans="1:9" ht="18">
      <c r="A41" s="22"/>
      <c r="B41" s="2" t="s">
        <v>32</v>
      </c>
      <c r="C41" s="6">
        <f>C18/C13</f>
        <v>75000</v>
      </c>
      <c r="D41" s="6">
        <f>AVERAGE(D21,D23)</f>
        <v>75075</v>
      </c>
      <c r="E41" s="6">
        <f t="shared" ref="E41:I41" si="3">AVERAGE(E21,E23)</f>
        <v>75412.5</v>
      </c>
      <c r="F41" s="6">
        <f t="shared" si="3"/>
        <v>75075</v>
      </c>
      <c r="G41" s="6">
        <f t="shared" si="3"/>
        <v>75412.5</v>
      </c>
      <c r="H41" s="6">
        <f t="shared" si="3"/>
        <v>74850</v>
      </c>
      <c r="I41" s="6">
        <f t="shared" si="3"/>
        <v>74812.5</v>
      </c>
    </row>
    <row r="42" spans="1:9" ht="18">
      <c r="A42" s="22"/>
      <c r="B42" s="2"/>
    </row>
    <row r="43" spans="1:9" ht="18">
      <c r="A43" s="22"/>
      <c r="B43" s="2" t="s">
        <v>12</v>
      </c>
      <c r="C43" s="7">
        <f>C18/AVERAGE(D21:I21,C23)</f>
        <v>3.5</v>
      </c>
      <c r="D43" s="7">
        <f>D18/(AVERAGE(D21,D23))</f>
        <v>0.56293706293706292</v>
      </c>
      <c r="E43" s="7">
        <f t="shared" ref="E43:I43" si="4">E18/(AVERAGE(E21,E23))</f>
        <v>0.60218796618597714</v>
      </c>
      <c r="F43" s="7">
        <f t="shared" si="4"/>
        <v>0.57342657342657344</v>
      </c>
      <c r="G43" s="7">
        <f t="shared" si="4"/>
        <v>0.59174540029835898</v>
      </c>
      <c r="H43" s="7">
        <f t="shared" si="4"/>
        <v>0.58567134268537069</v>
      </c>
      <c r="I43" s="7">
        <f t="shared" si="4"/>
        <v>0.57894736842105265</v>
      </c>
    </row>
    <row r="44" spans="1:9" ht="18">
      <c r="A44" s="22"/>
      <c r="B44" s="2"/>
    </row>
    <row r="45" spans="1:9" ht="18">
      <c r="A45" s="22"/>
      <c r="B45" s="2" t="s">
        <v>33</v>
      </c>
      <c r="C45" s="6"/>
      <c r="D45" s="6"/>
      <c r="E45" s="6"/>
      <c r="F45" s="6"/>
      <c r="G45" s="6"/>
      <c r="H45" s="6"/>
      <c r="I45" s="6"/>
    </row>
    <row r="46" spans="1:9" ht="18">
      <c r="A46" s="22"/>
      <c r="B46" s="2"/>
    </row>
    <row r="47" spans="1:9" ht="18">
      <c r="A47" s="22"/>
      <c r="B47" s="2" t="s">
        <v>34</v>
      </c>
      <c r="C47" s="6"/>
      <c r="D47" s="6"/>
      <c r="E47" s="6"/>
      <c r="F47" s="6"/>
      <c r="G47" s="6"/>
      <c r="H47" s="6"/>
      <c r="I47" s="6"/>
    </row>
    <row r="48" spans="1:9" ht="18">
      <c r="A48" s="22"/>
      <c r="B48" s="2" t="s">
        <v>35</v>
      </c>
      <c r="C48" s="5"/>
      <c r="D48" s="5"/>
      <c r="E48" s="5"/>
      <c r="F48" s="5"/>
      <c r="G48" s="5"/>
      <c r="H48" s="5"/>
      <c r="I48" s="5"/>
    </row>
    <row r="49" spans="1:9" ht="18">
      <c r="A49" s="22"/>
      <c r="B49" s="2"/>
    </row>
    <row r="50" spans="1:9" ht="18">
      <c r="A50" s="22" t="s">
        <v>2</v>
      </c>
      <c r="B50" s="3"/>
      <c r="C50" s="4" t="s">
        <v>47</v>
      </c>
      <c r="D50" s="3" t="s">
        <v>48</v>
      </c>
      <c r="E50" s="3" t="s">
        <v>49</v>
      </c>
      <c r="F50" s="3" t="s">
        <v>50</v>
      </c>
      <c r="G50" s="3" t="s">
        <v>51</v>
      </c>
      <c r="H50" s="3" t="s">
        <v>52</v>
      </c>
      <c r="I50" s="3" t="s">
        <v>53</v>
      </c>
    </row>
    <row r="51" spans="1:9" ht="18">
      <c r="A51" s="22"/>
      <c r="B51" s="2" t="s">
        <v>36</v>
      </c>
      <c r="C51" s="6"/>
      <c r="D51" s="6"/>
      <c r="E51" s="6"/>
      <c r="F51" s="6"/>
      <c r="G51" s="6"/>
      <c r="H51" s="6"/>
      <c r="I51" s="6"/>
    </row>
    <row r="52" spans="1:9" ht="18">
      <c r="A52" s="22"/>
      <c r="B52" s="2"/>
    </row>
    <row r="53" spans="1:9" ht="18">
      <c r="A53" s="22"/>
      <c r="B53" s="2" t="s">
        <v>37</v>
      </c>
      <c r="C53" s="6"/>
      <c r="D53" s="6"/>
      <c r="E53" s="6"/>
      <c r="F53" s="6"/>
      <c r="G53" s="6"/>
      <c r="H53" s="6"/>
      <c r="I53" s="6"/>
    </row>
    <row r="54" spans="1:9" ht="18">
      <c r="A54" s="22"/>
      <c r="B54" s="2"/>
    </row>
    <row r="55" spans="1:9" ht="18">
      <c r="A55" s="22"/>
      <c r="B55" s="2" t="s">
        <v>38</v>
      </c>
      <c r="C55" s="6"/>
      <c r="D55" s="6"/>
      <c r="E55" s="6"/>
      <c r="F55" s="6"/>
      <c r="G55" s="6"/>
      <c r="H55" s="6"/>
      <c r="I55" s="6"/>
    </row>
    <row r="56" spans="1:9" ht="18">
      <c r="A56" s="22"/>
      <c r="B56" s="2"/>
    </row>
    <row r="57" spans="1:9" ht="18">
      <c r="A57" s="22"/>
      <c r="B57" s="2" t="s">
        <v>39</v>
      </c>
      <c r="C57" s="6"/>
      <c r="D57" s="6"/>
      <c r="E57" s="6"/>
      <c r="F57" s="6"/>
      <c r="G57" s="6"/>
      <c r="H57" s="6"/>
      <c r="I57" s="6"/>
    </row>
    <row r="58" spans="1:9" ht="18">
      <c r="A58" s="22"/>
      <c r="B58" s="2"/>
    </row>
    <row r="59" spans="1:9" ht="18">
      <c r="A59" s="22"/>
      <c r="B59" s="2" t="s">
        <v>40</v>
      </c>
      <c r="C59" s="6"/>
      <c r="D59" s="6"/>
      <c r="E59" s="6"/>
      <c r="F59" s="6"/>
      <c r="G59" s="6"/>
      <c r="H59" s="6"/>
      <c r="I59" s="6"/>
    </row>
    <row r="60" spans="1:9" ht="18">
      <c r="A60" s="22"/>
      <c r="B60" s="2"/>
    </row>
    <row r="61" spans="1:9" ht="18">
      <c r="A61" s="22"/>
      <c r="B61" s="2" t="s">
        <v>41</v>
      </c>
      <c r="C61" s="6"/>
      <c r="D61" s="6"/>
      <c r="E61" s="6"/>
      <c r="F61" s="6"/>
      <c r="G61" s="6"/>
      <c r="H61" s="6"/>
      <c r="I61" s="6"/>
    </row>
  </sheetData>
  <mergeCells count="5">
    <mergeCell ref="A1:I1"/>
    <mergeCell ref="A2:I2"/>
    <mergeCell ref="A3:A16"/>
    <mergeCell ref="A17:A49"/>
    <mergeCell ref="A50:A61"/>
  </mergeCells>
  <printOptions horizontalCentered="1" gridLines="1"/>
  <pageMargins left="0" right="0" top="0.75" bottom="0.25" header="0.5" footer="0.5"/>
  <pageSetup scale="41" orientation="landscape" r:id="rId1"/>
  <headerFooter>
    <oddHeader>&amp;LZara Black&amp;C&amp;D&amp;R&amp;T</oddHeader>
    <oddFooter>&amp;C&amp;A
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61"/>
  <sheetViews>
    <sheetView topLeftCell="A22" workbookViewId="0">
      <selection activeCell="C37" sqref="C37"/>
    </sheetView>
  </sheetViews>
  <sheetFormatPr defaultRowHeight="15"/>
  <cols>
    <col min="1" max="1" width="4.7109375" customWidth="1"/>
    <col min="2" max="2" width="35.7109375" customWidth="1"/>
    <col min="3" max="3" width="17.7109375" style="1" customWidth="1"/>
    <col min="4" max="4" width="18.5703125" style="1" customWidth="1"/>
    <col min="5" max="9" width="17.7109375" style="1" customWidth="1"/>
  </cols>
  <sheetData>
    <row r="1" spans="1:9" ht="18" customHeight="1">
      <c r="A1" s="23" t="s">
        <v>42</v>
      </c>
      <c r="B1" s="23"/>
      <c r="C1" s="23"/>
      <c r="D1" s="23"/>
      <c r="E1" s="23"/>
      <c r="F1" s="23"/>
      <c r="G1" s="23"/>
      <c r="H1" s="23"/>
      <c r="I1" s="23"/>
    </row>
    <row r="2" spans="1:9" ht="18.75">
      <c r="A2" s="24" t="s">
        <v>43</v>
      </c>
      <c r="B2" s="25"/>
      <c r="C2" s="25"/>
      <c r="D2" s="25"/>
      <c r="E2" s="25"/>
      <c r="F2" s="25"/>
      <c r="G2" s="25"/>
      <c r="H2" s="25"/>
      <c r="I2" s="25"/>
    </row>
    <row r="3" spans="1:9" ht="18" customHeight="1">
      <c r="A3" s="22" t="s">
        <v>0</v>
      </c>
      <c r="B3" s="3" t="s">
        <v>44</v>
      </c>
      <c r="C3" s="3" t="s">
        <v>45</v>
      </c>
      <c r="D3" s="3" t="s">
        <v>46</v>
      </c>
    </row>
    <row r="4" spans="1:9" ht="18">
      <c r="A4" s="22"/>
      <c r="B4" s="2" t="s">
        <v>3</v>
      </c>
      <c r="C4" s="5">
        <v>0.05</v>
      </c>
      <c r="D4" s="6">
        <v>250000</v>
      </c>
    </row>
    <row r="5" spans="1:9" ht="18">
      <c r="A5" s="22"/>
      <c r="B5" s="2" t="s">
        <v>4</v>
      </c>
      <c r="C5" s="5"/>
    </row>
    <row r="6" spans="1:9" ht="18">
      <c r="A6" s="22"/>
      <c r="B6" s="2" t="s">
        <v>5</v>
      </c>
      <c r="C6" s="5">
        <v>0.17299999999999999</v>
      </c>
    </row>
    <row r="7" spans="1:9" ht="18">
      <c r="A7" s="22"/>
      <c r="B7" s="2" t="s">
        <v>6</v>
      </c>
      <c r="C7" s="5">
        <v>0.06</v>
      </c>
    </row>
    <row r="8" spans="1:9" ht="18">
      <c r="A8" s="22"/>
      <c r="B8" s="2" t="s">
        <v>7</v>
      </c>
      <c r="C8" s="5">
        <v>0.02</v>
      </c>
    </row>
    <row r="9" spans="1:9" ht="18">
      <c r="A9" s="22"/>
      <c r="B9" s="2" t="s">
        <v>8</v>
      </c>
      <c r="C9" s="5"/>
    </row>
    <row r="10" spans="1:9" ht="18">
      <c r="A10" s="22"/>
      <c r="B10" s="2" t="s">
        <v>9</v>
      </c>
      <c r="C10" s="5"/>
    </row>
    <row r="11" spans="1:9" ht="18">
      <c r="A11" s="22"/>
      <c r="B11" s="2" t="s">
        <v>10</v>
      </c>
      <c r="C11" s="5"/>
    </row>
    <row r="12" spans="1:9" ht="18">
      <c r="A12" s="22"/>
      <c r="B12" s="2" t="s">
        <v>11</v>
      </c>
      <c r="C12" s="5"/>
    </row>
    <row r="13" spans="1:9" ht="18">
      <c r="A13" s="22"/>
      <c r="B13" s="2" t="s">
        <v>12</v>
      </c>
      <c r="C13" s="7">
        <v>3.5</v>
      </c>
    </row>
    <row r="14" spans="1:9" ht="18">
      <c r="A14" s="22"/>
      <c r="B14" s="2" t="s">
        <v>13</v>
      </c>
      <c r="C14" s="5"/>
    </row>
    <row r="15" spans="1:9" ht="18">
      <c r="A15" s="22"/>
      <c r="B15" s="2" t="s">
        <v>14</v>
      </c>
      <c r="C15" s="5"/>
    </row>
    <row r="16" spans="1:9" ht="18">
      <c r="A16" s="22"/>
      <c r="B16" s="2" t="s">
        <v>15</v>
      </c>
      <c r="C16" s="6"/>
    </row>
    <row r="17" spans="1:9" ht="18">
      <c r="A17" s="22" t="s">
        <v>1</v>
      </c>
      <c r="B17" s="3"/>
      <c r="C17" s="4" t="s">
        <v>47</v>
      </c>
      <c r="D17" s="3" t="s">
        <v>48</v>
      </c>
      <c r="E17" s="3" t="s">
        <v>49</v>
      </c>
      <c r="F17" s="3" t="s">
        <v>50</v>
      </c>
      <c r="G17" s="3" t="s">
        <v>51</v>
      </c>
      <c r="H17" s="3" t="s">
        <v>52</v>
      </c>
      <c r="I17" s="3" t="s">
        <v>53</v>
      </c>
    </row>
    <row r="18" spans="1:9" ht="18">
      <c r="A18" s="22"/>
      <c r="B18" s="2" t="s">
        <v>16</v>
      </c>
      <c r="C18" s="6">
        <f>D4+(D4*C4)</f>
        <v>262500</v>
      </c>
      <c r="D18" s="6">
        <f>D19*$C$18</f>
        <v>42262.5</v>
      </c>
      <c r="E18" s="6">
        <f t="shared" ref="E18:I18" si="0">E19*$C$18</f>
        <v>45412.5</v>
      </c>
      <c r="F18" s="6">
        <f t="shared" si="0"/>
        <v>43050</v>
      </c>
      <c r="G18" s="6">
        <f t="shared" si="0"/>
        <v>44625</v>
      </c>
      <c r="H18" s="6">
        <f t="shared" si="0"/>
        <v>43837.5</v>
      </c>
      <c r="I18" s="6">
        <f t="shared" si="0"/>
        <v>43312.5</v>
      </c>
    </row>
    <row r="19" spans="1:9" ht="18">
      <c r="A19" s="22"/>
      <c r="B19" s="2" t="s">
        <v>17</v>
      </c>
      <c r="C19" s="5">
        <f>SUM(D19:I19)</f>
        <v>1</v>
      </c>
      <c r="D19" s="5">
        <v>0.161</v>
      </c>
      <c r="E19" s="5">
        <v>0.17299999999999999</v>
      </c>
      <c r="F19" s="5">
        <v>0.16400000000000001</v>
      </c>
      <c r="G19" s="5">
        <v>0.17</v>
      </c>
      <c r="H19" s="5">
        <v>0.16700000000000001</v>
      </c>
      <c r="I19" s="5">
        <v>0.16500000000000001</v>
      </c>
    </row>
    <row r="20" spans="1:9" ht="18">
      <c r="A20" s="22"/>
      <c r="B20" s="11" t="s">
        <v>54</v>
      </c>
      <c r="D20" s="9"/>
    </row>
    <row r="21" spans="1:9" ht="18">
      <c r="A21" s="22"/>
      <c r="B21" s="2" t="s">
        <v>18</v>
      </c>
      <c r="C21" s="6">
        <f>($C$18/$C$13)*0.5*(1+(D18/($C$18/6)))</f>
        <v>73725</v>
      </c>
      <c r="D21" s="10">
        <f t="shared" ref="D21:I21" si="1">($C$18/$C$13)*0.5*(1+(D18/43750))</f>
        <v>73725</v>
      </c>
      <c r="E21" s="10">
        <f t="shared" si="1"/>
        <v>76425.000000000015</v>
      </c>
      <c r="F21" s="10">
        <f t="shared" si="1"/>
        <v>74400</v>
      </c>
      <c r="G21" s="10">
        <f t="shared" si="1"/>
        <v>75750</v>
      </c>
      <c r="H21" s="10">
        <f t="shared" si="1"/>
        <v>75074.999999999985</v>
      </c>
      <c r="I21" s="10">
        <f t="shared" si="1"/>
        <v>74625</v>
      </c>
    </row>
    <row r="22" spans="1:9" ht="18">
      <c r="A22" s="22"/>
      <c r="B22" s="2" t="s">
        <v>19</v>
      </c>
      <c r="C22" s="8"/>
      <c r="D22" s="12">
        <f>D21/D18</f>
        <v>1.7444543034605147</v>
      </c>
      <c r="E22" s="12">
        <f t="shared" ref="E22:I22" si="2">E21/E18</f>
        <v>1.6829066886870359</v>
      </c>
      <c r="F22" s="12">
        <f t="shared" si="2"/>
        <v>1.7282229965156795</v>
      </c>
      <c r="G22" s="12">
        <f t="shared" si="2"/>
        <v>1.6974789915966386</v>
      </c>
      <c r="H22" s="12">
        <f t="shared" si="2"/>
        <v>1.7125748502994009</v>
      </c>
      <c r="I22" s="12">
        <f t="shared" si="2"/>
        <v>1.722943722943723</v>
      </c>
    </row>
    <row r="23" spans="1:9" ht="18">
      <c r="A23" s="22"/>
      <c r="B23" s="2" t="s">
        <v>20</v>
      </c>
      <c r="C23" s="10">
        <f>AVERAGE(D21:I21)</f>
        <v>75000</v>
      </c>
      <c r="D23" s="10">
        <f>($C$18/$C$13)*0.5*(1+(E18/43750))</f>
        <v>76425.000000000015</v>
      </c>
      <c r="E23" s="10">
        <f>($C$18/$C$13)*0.5*(1+(F18/43750))</f>
        <v>74400</v>
      </c>
      <c r="F23" s="10">
        <f>($C$18/$C$13)*0.5*(1+(G18/43750))</f>
        <v>75750</v>
      </c>
      <c r="G23" s="10">
        <f>($C$18/$C$13)*0.5*(1+(H18/43750))</f>
        <v>75074.999999999985</v>
      </c>
      <c r="H23" s="10">
        <f>($C$18/$C$13)*0.5*(1+(I18/43750))</f>
        <v>74625</v>
      </c>
      <c r="I23" s="10">
        <f>AVERAGE(D21:I21)</f>
        <v>75000</v>
      </c>
    </row>
    <row r="24" spans="1:9" ht="18">
      <c r="A24" s="22"/>
      <c r="B24" s="2"/>
    </row>
    <row r="25" spans="1:9" ht="18">
      <c r="A25" s="22"/>
      <c r="B25" s="2" t="s">
        <v>21</v>
      </c>
      <c r="C25" s="6">
        <f>C6*C18</f>
        <v>45412.5</v>
      </c>
      <c r="D25" s="6">
        <f>$C$25*D27</f>
        <v>7220.5875000000005</v>
      </c>
      <c r="E25" s="6">
        <f t="shared" ref="E25:I25" si="3">$C$25*E27</f>
        <v>7356.8249999999998</v>
      </c>
      <c r="F25" s="6">
        <f t="shared" si="3"/>
        <v>7447.6500000000005</v>
      </c>
      <c r="G25" s="6">
        <f t="shared" si="3"/>
        <v>7583.8875000000007</v>
      </c>
      <c r="H25" s="6">
        <f t="shared" si="3"/>
        <v>7856.3624999999993</v>
      </c>
      <c r="I25" s="6">
        <f t="shared" si="3"/>
        <v>7947.1874999999991</v>
      </c>
    </row>
    <row r="26" spans="1:9" ht="18">
      <c r="A26" s="22"/>
      <c r="B26" s="2" t="s">
        <v>22</v>
      </c>
      <c r="C26" s="5">
        <f>C25/C18</f>
        <v>0.17299999999999999</v>
      </c>
      <c r="D26" s="5">
        <f t="shared" ref="D26:I26" si="4">D25/D18</f>
        <v>0.17085093167701865</v>
      </c>
      <c r="E26" s="5">
        <f t="shared" si="4"/>
        <v>0.16200000000000001</v>
      </c>
      <c r="F26" s="5">
        <f t="shared" si="4"/>
        <v>0.17300000000000001</v>
      </c>
      <c r="G26" s="5">
        <f t="shared" si="4"/>
        <v>0.16994705882352942</v>
      </c>
      <c r="H26" s="5">
        <f t="shared" si="4"/>
        <v>0.17921556886227544</v>
      </c>
      <c r="I26" s="5">
        <f t="shared" si="4"/>
        <v>0.18348484848484847</v>
      </c>
    </row>
    <row r="27" spans="1:9" ht="18">
      <c r="A27" s="22"/>
      <c r="B27" s="2" t="s">
        <v>23</v>
      </c>
      <c r="C27" s="5">
        <f>SUM(D27:I27)</f>
        <v>1</v>
      </c>
      <c r="D27" s="5">
        <v>0.159</v>
      </c>
      <c r="E27" s="5">
        <v>0.16200000000000001</v>
      </c>
      <c r="F27" s="5">
        <v>0.16400000000000001</v>
      </c>
      <c r="G27" s="5">
        <v>0.16700000000000001</v>
      </c>
      <c r="H27" s="5">
        <v>0.17299999999999999</v>
      </c>
      <c r="I27" s="5">
        <v>0.17499999999999999</v>
      </c>
    </row>
    <row r="28" spans="1:9" ht="18">
      <c r="A28" s="22"/>
      <c r="B28" s="2"/>
    </row>
    <row r="29" spans="1:9" ht="18">
      <c r="A29" s="22"/>
      <c r="B29" s="2" t="s">
        <v>24</v>
      </c>
      <c r="C29" s="6">
        <f>C18*C7</f>
        <v>15750</v>
      </c>
      <c r="D29" s="6">
        <f>D31*$C$29</f>
        <v>2504.25</v>
      </c>
      <c r="E29" s="6">
        <f t="shared" ref="E29:I29" si="5">E31*$C$29</f>
        <v>2535.75</v>
      </c>
      <c r="F29" s="6">
        <f t="shared" si="5"/>
        <v>2646</v>
      </c>
      <c r="G29" s="6">
        <f t="shared" si="5"/>
        <v>2724.75</v>
      </c>
      <c r="H29" s="6">
        <f t="shared" si="5"/>
        <v>2709</v>
      </c>
      <c r="I29" s="6">
        <f t="shared" si="5"/>
        <v>2630.25</v>
      </c>
    </row>
    <row r="30" spans="1:9" ht="18">
      <c r="A30" s="22"/>
      <c r="B30" s="2" t="s">
        <v>25</v>
      </c>
      <c r="C30" s="5">
        <f>C29/C18</f>
        <v>0.06</v>
      </c>
      <c r="D30" s="5">
        <f t="shared" ref="D30:I30" si="6">D29/D18</f>
        <v>5.9254658385093167E-2</v>
      </c>
      <c r="E30" s="5">
        <f t="shared" si="6"/>
        <v>5.5838150289017341E-2</v>
      </c>
      <c r="F30" s="5">
        <f t="shared" si="6"/>
        <v>6.1463414634146341E-2</v>
      </c>
      <c r="G30" s="5">
        <f t="shared" si="6"/>
        <v>6.1058823529411763E-2</v>
      </c>
      <c r="H30" s="5">
        <f t="shared" si="6"/>
        <v>6.1796407185628739E-2</v>
      </c>
      <c r="I30" s="5">
        <f t="shared" si="6"/>
        <v>6.0727272727272727E-2</v>
      </c>
    </row>
    <row r="31" spans="1:9" ht="18">
      <c r="A31" s="22"/>
      <c r="B31" s="2" t="s">
        <v>26</v>
      </c>
      <c r="C31" s="5">
        <f>SUM(D31:I31)</f>
        <v>1</v>
      </c>
      <c r="D31" s="5">
        <v>0.159</v>
      </c>
      <c r="E31" s="5">
        <v>0.161</v>
      </c>
      <c r="F31" s="5">
        <v>0.16800000000000001</v>
      </c>
      <c r="G31" s="5">
        <v>0.17299999999999999</v>
      </c>
      <c r="H31" s="5">
        <v>0.17199999999999999</v>
      </c>
      <c r="I31" s="5">
        <v>0.16700000000000001</v>
      </c>
    </row>
    <row r="32" spans="1:9" ht="18">
      <c r="A32" s="22"/>
      <c r="B32" s="2"/>
    </row>
    <row r="33" spans="1:9" ht="18">
      <c r="A33" s="22"/>
      <c r="B33" s="2" t="s">
        <v>27</v>
      </c>
      <c r="C33" s="6">
        <f>C8*C18</f>
        <v>5250</v>
      </c>
      <c r="D33" s="6">
        <f>$C$33*D35</f>
        <v>876.75</v>
      </c>
      <c r="E33" s="6">
        <f t="shared" ref="E33:I33" si="7">$C$33*E35</f>
        <v>876.75</v>
      </c>
      <c r="F33" s="6">
        <f t="shared" si="7"/>
        <v>876.75</v>
      </c>
      <c r="G33" s="6">
        <f t="shared" si="7"/>
        <v>871.5</v>
      </c>
      <c r="H33" s="6">
        <f t="shared" si="7"/>
        <v>876.75</v>
      </c>
      <c r="I33" s="6">
        <f t="shared" si="7"/>
        <v>871.5</v>
      </c>
    </row>
    <row r="34" spans="1:9" ht="18">
      <c r="A34" s="22"/>
      <c r="B34" s="2" t="s">
        <v>28</v>
      </c>
      <c r="C34" s="5">
        <f>C33/C18</f>
        <v>0.02</v>
      </c>
      <c r="D34" s="5">
        <f t="shared" ref="D34:I34" si="8">D33/D18</f>
        <v>2.0745341614906831E-2</v>
      </c>
      <c r="E34" s="5">
        <f t="shared" si="8"/>
        <v>1.9306358381502891E-2</v>
      </c>
      <c r="F34" s="5">
        <f t="shared" si="8"/>
        <v>2.0365853658536586E-2</v>
      </c>
      <c r="G34" s="5">
        <f t="shared" si="8"/>
        <v>1.9529411764705882E-2</v>
      </c>
      <c r="H34" s="5">
        <f t="shared" si="8"/>
        <v>0.02</v>
      </c>
      <c r="I34" s="5">
        <f t="shared" si="8"/>
        <v>2.012121212121212E-2</v>
      </c>
    </row>
    <row r="35" spans="1:9" ht="18">
      <c r="A35" s="22"/>
      <c r="B35" s="2" t="s">
        <v>29</v>
      </c>
      <c r="C35" s="5">
        <f>SUM(D35:I35)</f>
        <v>1</v>
      </c>
      <c r="D35" s="5">
        <v>0.16700000000000001</v>
      </c>
      <c r="E35" s="5">
        <v>0.16700000000000001</v>
      </c>
      <c r="F35" s="5">
        <v>0.16700000000000001</v>
      </c>
      <c r="G35" s="5">
        <v>0.16600000000000001</v>
      </c>
      <c r="H35" s="5">
        <v>0.16700000000000001</v>
      </c>
      <c r="I35" s="5">
        <v>0.16600000000000001</v>
      </c>
    </row>
    <row r="36" spans="1:9" ht="18">
      <c r="A36" s="22"/>
      <c r="B36" s="2"/>
    </row>
    <row r="37" spans="1:9" ht="18">
      <c r="A37" s="22"/>
      <c r="B37" s="2" t="s">
        <v>30</v>
      </c>
      <c r="C37" s="6"/>
      <c r="D37" s="6"/>
      <c r="E37" s="6"/>
      <c r="F37" s="6"/>
      <c r="G37" s="6"/>
      <c r="H37" s="6"/>
      <c r="I37" s="6"/>
    </row>
    <row r="38" spans="1:9" ht="18">
      <c r="A38" s="22"/>
      <c r="B38" s="2"/>
    </row>
    <row r="39" spans="1:9" ht="18">
      <c r="A39" s="22"/>
      <c r="B39" s="2" t="s">
        <v>31</v>
      </c>
      <c r="C39" s="5"/>
      <c r="D39" s="5"/>
      <c r="E39" s="5"/>
      <c r="F39" s="5"/>
      <c r="G39" s="5"/>
      <c r="H39" s="5"/>
      <c r="I39" s="5"/>
    </row>
    <row r="40" spans="1:9" ht="18">
      <c r="A40" s="22"/>
      <c r="B40" s="2"/>
    </row>
    <row r="41" spans="1:9" ht="18">
      <c r="A41" s="22"/>
      <c r="B41" s="2" t="s">
        <v>32</v>
      </c>
      <c r="C41" s="6">
        <f>C18/C13</f>
        <v>75000</v>
      </c>
      <c r="D41" s="6">
        <f>AVERAGE(D21,D23)</f>
        <v>75075</v>
      </c>
      <c r="E41" s="6">
        <f t="shared" ref="E41:I41" si="9">AVERAGE(E21,E23)</f>
        <v>75412.5</v>
      </c>
      <c r="F41" s="6">
        <f t="shared" si="9"/>
        <v>75075</v>
      </c>
      <c r="G41" s="6">
        <f t="shared" si="9"/>
        <v>75412.5</v>
      </c>
      <c r="H41" s="6">
        <f t="shared" si="9"/>
        <v>74850</v>
      </c>
      <c r="I41" s="6">
        <f t="shared" si="9"/>
        <v>74812.5</v>
      </c>
    </row>
    <row r="42" spans="1:9" ht="18">
      <c r="A42" s="22"/>
      <c r="B42" s="2"/>
    </row>
    <row r="43" spans="1:9" ht="18">
      <c r="A43" s="22"/>
      <c r="B43" s="2" t="s">
        <v>12</v>
      </c>
      <c r="C43" s="7">
        <f>C18/AVERAGE(D21:I21,C23)</f>
        <v>3.5</v>
      </c>
      <c r="D43" s="7">
        <f>D18/(AVERAGE(D21,D23))</f>
        <v>0.56293706293706292</v>
      </c>
      <c r="E43" s="7">
        <f t="shared" ref="E43:I43" si="10">E18/(AVERAGE(E21,E23))</f>
        <v>0.60218796618597714</v>
      </c>
      <c r="F43" s="7">
        <f t="shared" si="10"/>
        <v>0.57342657342657344</v>
      </c>
      <c r="G43" s="7">
        <f t="shared" si="10"/>
        <v>0.59174540029835898</v>
      </c>
      <c r="H43" s="7">
        <f t="shared" si="10"/>
        <v>0.58567134268537069</v>
      </c>
      <c r="I43" s="7">
        <f t="shared" si="10"/>
        <v>0.57894736842105265</v>
      </c>
    </row>
    <row r="44" spans="1:9" ht="18">
      <c r="A44" s="22"/>
      <c r="B44" s="2"/>
    </row>
    <row r="45" spans="1:9" ht="18">
      <c r="A45" s="22"/>
      <c r="B45" s="2" t="s">
        <v>33</v>
      </c>
      <c r="C45" s="6"/>
      <c r="D45" s="6"/>
      <c r="E45" s="6"/>
      <c r="F45" s="6"/>
      <c r="G45" s="6"/>
      <c r="H45" s="6"/>
      <c r="I45" s="6"/>
    </row>
    <row r="46" spans="1:9" ht="18">
      <c r="A46" s="22"/>
      <c r="B46" s="2"/>
    </row>
    <row r="47" spans="1:9" ht="18">
      <c r="A47" s="22"/>
      <c r="B47" s="2" t="s">
        <v>34</v>
      </c>
      <c r="C47" s="6"/>
      <c r="D47" s="6"/>
      <c r="E47" s="6"/>
      <c r="F47" s="6"/>
      <c r="G47" s="6"/>
      <c r="H47" s="6"/>
      <c r="I47" s="6"/>
    </row>
    <row r="48" spans="1:9" ht="18">
      <c r="A48" s="22"/>
      <c r="B48" s="2" t="s">
        <v>35</v>
      </c>
      <c r="C48" s="5"/>
      <c r="D48" s="5"/>
      <c r="E48" s="5"/>
      <c r="F48" s="5"/>
      <c r="G48" s="5"/>
      <c r="H48" s="5"/>
      <c r="I48" s="5"/>
    </row>
    <row r="49" spans="1:9" ht="18">
      <c r="A49" s="22"/>
      <c r="B49" s="2"/>
    </row>
    <row r="50" spans="1:9" ht="18">
      <c r="A50" s="22" t="s">
        <v>2</v>
      </c>
      <c r="B50" s="3"/>
      <c r="C50" s="4" t="s">
        <v>47</v>
      </c>
      <c r="D50" s="3" t="s">
        <v>48</v>
      </c>
      <c r="E50" s="3" t="s">
        <v>49</v>
      </c>
      <c r="F50" s="3" t="s">
        <v>50</v>
      </c>
      <c r="G50" s="3" t="s">
        <v>51</v>
      </c>
      <c r="H50" s="3" t="s">
        <v>52</v>
      </c>
      <c r="I50" s="3" t="s">
        <v>53</v>
      </c>
    </row>
    <row r="51" spans="1:9" ht="18">
      <c r="A51" s="22"/>
      <c r="B51" s="2" t="s">
        <v>36</v>
      </c>
      <c r="C51" s="6"/>
      <c r="D51" s="6"/>
      <c r="E51" s="6"/>
      <c r="F51" s="6"/>
      <c r="G51" s="6"/>
      <c r="H51" s="6"/>
      <c r="I51" s="6"/>
    </row>
    <row r="52" spans="1:9" ht="18">
      <c r="A52" s="22"/>
      <c r="B52" s="2"/>
    </row>
    <row r="53" spans="1:9" ht="18">
      <c r="A53" s="22"/>
      <c r="B53" s="2" t="s">
        <v>37</v>
      </c>
      <c r="C53" s="6"/>
      <c r="D53" s="6"/>
      <c r="E53" s="6"/>
      <c r="F53" s="6"/>
      <c r="G53" s="6"/>
      <c r="H53" s="6"/>
      <c r="I53" s="6"/>
    </row>
    <row r="54" spans="1:9" ht="18">
      <c r="A54" s="22"/>
      <c r="B54" s="2"/>
    </row>
    <row r="55" spans="1:9" ht="18">
      <c r="A55" s="22"/>
      <c r="B55" s="2" t="s">
        <v>38</v>
      </c>
      <c r="C55" s="6"/>
      <c r="D55" s="6"/>
      <c r="E55" s="6"/>
      <c r="F55" s="6"/>
      <c r="G55" s="6"/>
      <c r="H55" s="6"/>
      <c r="I55" s="6"/>
    </row>
    <row r="56" spans="1:9" ht="18">
      <c r="A56" s="22"/>
      <c r="B56" s="2"/>
    </row>
    <row r="57" spans="1:9" ht="18">
      <c r="A57" s="22"/>
      <c r="B57" s="2" t="s">
        <v>39</v>
      </c>
      <c r="C57" s="6"/>
      <c r="D57" s="6"/>
      <c r="E57" s="6"/>
      <c r="F57" s="6"/>
      <c r="G57" s="6"/>
      <c r="H57" s="6"/>
      <c r="I57" s="6"/>
    </row>
    <row r="58" spans="1:9" ht="18">
      <c r="A58" s="22"/>
      <c r="B58" s="2"/>
    </row>
    <row r="59" spans="1:9" ht="18">
      <c r="A59" s="22"/>
      <c r="B59" s="2" t="s">
        <v>40</v>
      </c>
      <c r="C59" s="6"/>
      <c r="D59" s="6"/>
      <c r="E59" s="6"/>
      <c r="F59" s="6"/>
      <c r="G59" s="6"/>
      <c r="H59" s="6"/>
      <c r="I59" s="6"/>
    </row>
    <row r="60" spans="1:9" ht="18">
      <c r="A60" s="22"/>
      <c r="B60" s="2"/>
    </row>
    <row r="61" spans="1:9" ht="18">
      <c r="A61" s="22"/>
      <c r="B61" s="2" t="s">
        <v>41</v>
      </c>
      <c r="C61" s="6"/>
      <c r="D61" s="6"/>
      <c r="E61" s="6"/>
      <c r="F61" s="6"/>
      <c r="G61" s="6"/>
      <c r="H61" s="6"/>
      <c r="I61" s="6"/>
    </row>
  </sheetData>
  <mergeCells count="5">
    <mergeCell ref="A1:I1"/>
    <mergeCell ref="A2:I2"/>
    <mergeCell ref="A3:A16"/>
    <mergeCell ref="A17:A49"/>
    <mergeCell ref="A50:A61"/>
  </mergeCells>
  <printOptions horizontalCentered="1" gridLines="1"/>
  <pageMargins left="0" right="0" top="0.75" bottom="0.25" header="0.5" footer="0.5"/>
  <pageSetup scale="60" orientation="portrait" r:id="rId1"/>
  <headerFooter>
    <oddHeader>&amp;LZara Black&amp;C&amp;D&amp;R&amp;T</oddHeader>
    <oddFooter>&amp;C&amp;A
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1"/>
  <sheetViews>
    <sheetView topLeftCell="A21" workbookViewId="0">
      <selection activeCell="C34" sqref="C34"/>
    </sheetView>
  </sheetViews>
  <sheetFormatPr defaultRowHeight="15"/>
  <cols>
    <col min="1" max="1" width="4.7109375" customWidth="1"/>
    <col min="2" max="2" width="35.7109375" customWidth="1"/>
    <col min="3" max="3" width="17.7109375" style="1" customWidth="1"/>
    <col min="4" max="4" width="18.5703125" style="1" customWidth="1"/>
    <col min="5" max="9" width="17.7109375" style="1" customWidth="1"/>
  </cols>
  <sheetData>
    <row r="1" spans="1:9" ht="18" customHeight="1">
      <c r="A1" s="23" t="s">
        <v>42</v>
      </c>
      <c r="B1" s="23"/>
      <c r="C1" s="23"/>
      <c r="D1" s="23"/>
      <c r="E1" s="23"/>
      <c r="F1" s="23"/>
      <c r="G1" s="23"/>
      <c r="H1" s="23"/>
      <c r="I1" s="23"/>
    </row>
    <row r="2" spans="1:9" ht="18.75">
      <c r="A2" s="24" t="s">
        <v>43</v>
      </c>
      <c r="B2" s="25"/>
      <c r="C2" s="25"/>
      <c r="D2" s="25"/>
      <c r="E2" s="25"/>
      <c r="F2" s="25"/>
      <c r="G2" s="25"/>
      <c r="H2" s="25"/>
      <c r="I2" s="25"/>
    </row>
    <row r="3" spans="1:9" ht="18" customHeight="1">
      <c r="A3" s="22" t="s">
        <v>0</v>
      </c>
      <c r="B3" s="3" t="s">
        <v>44</v>
      </c>
      <c r="C3" s="3" t="s">
        <v>45</v>
      </c>
      <c r="D3" s="3" t="s">
        <v>46</v>
      </c>
    </row>
    <row r="4" spans="1:9" ht="18">
      <c r="A4" s="22"/>
      <c r="B4" s="2" t="s">
        <v>3</v>
      </c>
      <c r="C4" s="5">
        <v>0.05</v>
      </c>
      <c r="D4" s="6">
        <v>250000</v>
      </c>
    </row>
    <row r="5" spans="1:9" ht="18">
      <c r="A5" s="22"/>
      <c r="B5" s="2" t="s">
        <v>4</v>
      </c>
      <c r="C5" s="5"/>
    </row>
    <row r="6" spans="1:9" ht="18">
      <c r="A6" s="22"/>
      <c r="B6" s="2" t="s">
        <v>5</v>
      </c>
      <c r="C6" s="5">
        <v>0.17299999999999999</v>
      </c>
    </row>
    <row r="7" spans="1:9" ht="18">
      <c r="A7" s="22"/>
      <c r="B7" s="2" t="s">
        <v>6</v>
      </c>
      <c r="C7" s="5">
        <v>0.06</v>
      </c>
    </row>
    <row r="8" spans="1:9" ht="18">
      <c r="A8" s="22"/>
      <c r="B8" s="2" t="s">
        <v>7</v>
      </c>
      <c r="C8" s="5">
        <v>0.02</v>
      </c>
    </row>
    <row r="9" spans="1:9" ht="18">
      <c r="A9" s="22"/>
      <c r="B9" s="2" t="s">
        <v>8</v>
      </c>
      <c r="C9" s="5"/>
    </row>
    <row r="10" spans="1:9" ht="18">
      <c r="A10" s="22"/>
      <c r="B10" s="2" t="s">
        <v>9</v>
      </c>
      <c r="C10" s="5"/>
    </row>
    <row r="11" spans="1:9" ht="18">
      <c r="A11" s="22"/>
      <c r="B11" s="2" t="s">
        <v>10</v>
      </c>
      <c r="C11" s="5"/>
    </row>
    <row r="12" spans="1:9" ht="18">
      <c r="A12" s="22"/>
      <c r="B12" s="2" t="s">
        <v>11</v>
      </c>
      <c r="C12" s="5"/>
    </row>
    <row r="13" spans="1:9" ht="18">
      <c r="A13" s="22"/>
      <c r="B13" s="2" t="s">
        <v>12</v>
      </c>
      <c r="C13" s="7">
        <v>3.5</v>
      </c>
    </row>
    <row r="14" spans="1:9" ht="18">
      <c r="A14" s="22"/>
      <c r="B14" s="2" t="s">
        <v>13</v>
      </c>
      <c r="C14" s="5"/>
    </row>
    <row r="15" spans="1:9" ht="18">
      <c r="A15" s="22"/>
      <c r="B15" s="2" t="s">
        <v>14</v>
      </c>
      <c r="C15" s="5"/>
    </row>
    <row r="16" spans="1:9" ht="18">
      <c r="A16" s="22"/>
      <c r="B16" s="2" t="s">
        <v>15</v>
      </c>
      <c r="C16" s="6"/>
    </row>
    <row r="17" spans="1:9" ht="18">
      <c r="A17" s="22" t="s">
        <v>1</v>
      </c>
      <c r="B17" s="3"/>
      <c r="C17" s="4" t="s">
        <v>47</v>
      </c>
      <c r="D17" s="3" t="s">
        <v>48</v>
      </c>
      <c r="E17" s="3" t="s">
        <v>49</v>
      </c>
      <c r="F17" s="3" t="s">
        <v>50</v>
      </c>
      <c r="G17" s="3" t="s">
        <v>51</v>
      </c>
      <c r="H17" s="3" t="s">
        <v>52</v>
      </c>
      <c r="I17" s="3" t="s">
        <v>53</v>
      </c>
    </row>
    <row r="18" spans="1:9" ht="18">
      <c r="A18" s="22"/>
      <c r="B18" s="2" t="s">
        <v>16</v>
      </c>
      <c r="C18" s="6">
        <f>D4+(D4*C4)</f>
        <v>262500</v>
      </c>
      <c r="D18" s="6">
        <f>D19*$C$18</f>
        <v>42262.5</v>
      </c>
      <c r="E18" s="6">
        <f t="shared" ref="E18:I18" si="0">E19*$C$18</f>
        <v>45412.5</v>
      </c>
      <c r="F18" s="6">
        <f t="shared" si="0"/>
        <v>43050</v>
      </c>
      <c r="G18" s="6">
        <f t="shared" si="0"/>
        <v>44625</v>
      </c>
      <c r="H18" s="6">
        <f t="shared" si="0"/>
        <v>43837.5</v>
      </c>
      <c r="I18" s="6">
        <f t="shared" si="0"/>
        <v>43312.5</v>
      </c>
    </row>
    <row r="19" spans="1:9" ht="18">
      <c r="A19" s="22"/>
      <c r="B19" s="2" t="s">
        <v>17</v>
      </c>
      <c r="C19" s="5">
        <f>SUM(D19:I19)</f>
        <v>1</v>
      </c>
      <c r="D19" s="5">
        <v>0.161</v>
      </c>
      <c r="E19" s="5">
        <v>0.17299999999999999</v>
      </c>
      <c r="F19" s="5">
        <v>0.16400000000000001</v>
      </c>
      <c r="G19" s="5">
        <v>0.17</v>
      </c>
      <c r="H19" s="5">
        <v>0.16700000000000001</v>
      </c>
      <c r="I19" s="5">
        <v>0.16500000000000001</v>
      </c>
    </row>
    <row r="20" spans="1:9" ht="18">
      <c r="A20" s="22"/>
      <c r="B20" s="11" t="s">
        <v>54</v>
      </c>
      <c r="D20" s="9"/>
    </row>
    <row r="21" spans="1:9" ht="18">
      <c r="A21" s="22"/>
      <c r="B21" s="2" t="s">
        <v>18</v>
      </c>
      <c r="C21" s="6">
        <f>($C$18/$C$13)*0.5*(1+(D18/($C$18/6)))</f>
        <v>73725</v>
      </c>
      <c r="D21" s="10">
        <f t="shared" ref="D21:I21" si="1">($C$18/$C$13)*0.5*(1+(D18/43750))</f>
        <v>73725</v>
      </c>
      <c r="E21" s="10">
        <f t="shared" si="1"/>
        <v>76425.000000000015</v>
      </c>
      <c r="F21" s="10">
        <f t="shared" si="1"/>
        <v>74400</v>
      </c>
      <c r="G21" s="10">
        <f t="shared" si="1"/>
        <v>75750</v>
      </c>
      <c r="H21" s="10">
        <f t="shared" si="1"/>
        <v>75074.999999999985</v>
      </c>
      <c r="I21" s="10">
        <f t="shared" si="1"/>
        <v>74625</v>
      </c>
    </row>
    <row r="22" spans="1:9" ht="18">
      <c r="A22" s="22"/>
      <c r="B22" s="2" t="s">
        <v>19</v>
      </c>
      <c r="C22" s="8"/>
      <c r="D22" s="12">
        <f>D21/D18</f>
        <v>1.7444543034605147</v>
      </c>
      <c r="E22" s="12">
        <f t="shared" ref="E22:I22" si="2">E21/E18</f>
        <v>1.6829066886870359</v>
      </c>
      <c r="F22" s="12">
        <f t="shared" si="2"/>
        <v>1.7282229965156795</v>
      </c>
      <c r="G22" s="12">
        <f t="shared" si="2"/>
        <v>1.6974789915966386</v>
      </c>
      <c r="H22" s="12">
        <f t="shared" si="2"/>
        <v>1.7125748502994009</v>
      </c>
      <c r="I22" s="12">
        <f t="shared" si="2"/>
        <v>1.722943722943723</v>
      </c>
    </row>
    <row r="23" spans="1:9" ht="18">
      <c r="A23" s="22"/>
      <c r="B23" s="2" t="s">
        <v>20</v>
      </c>
      <c r="C23" s="10">
        <f>AVERAGE(D21:I21)</f>
        <v>75000</v>
      </c>
      <c r="D23" s="10">
        <f>($C$18/$C$13)*0.5*(1+(E18/43750))</f>
        <v>76425.000000000015</v>
      </c>
      <c r="E23" s="10">
        <f>($C$18/$C$13)*0.5*(1+(F18/43750))</f>
        <v>74400</v>
      </c>
      <c r="F23" s="10">
        <f>($C$18/$C$13)*0.5*(1+(G18/43750))</f>
        <v>75750</v>
      </c>
      <c r="G23" s="10">
        <f>($C$18/$C$13)*0.5*(1+(H18/43750))</f>
        <v>75074.999999999985</v>
      </c>
      <c r="H23" s="10">
        <f>($C$18/$C$13)*0.5*(1+(I18/43750))</f>
        <v>74625</v>
      </c>
      <c r="I23" s="10">
        <f>AVERAGE(D21:I21)</f>
        <v>75000</v>
      </c>
    </row>
    <row r="24" spans="1:9" ht="18">
      <c r="A24" s="22"/>
      <c r="B24" s="2"/>
    </row>
    <row r="25" spans="1:9" ht="18">
      <c r="A25" s="22"/>
      <c r="B25" s="2" t="s">
        <v>21</v>
      </c>
      <c r="C25" s="6">
        <f>C6*C18</f>
        <v>45412.5</v>
      </c>
      <c r="D25" s="6">
        <f>$C$25*D27</f>
        <v>7220.5875000000005</v>
      </c>
      <c r="E25" s="6">
        <f t="shared" ref="E25:I25" si="3">$C$25*E27</f>
        <v>7356.8249999999998</v>
      </c>
      <c r="F25" s="6">
        <f t="shared" si="3"/>
        <v>7447.6500000000005</v>
      </c>
      <c r="G25" s="6">
        <f t="shared" si="3"/>
        <v>7583.8875000000007</v>
      </c>
      <c r="H25" s="6">
        <f t="shared" si="3"/>
        <v>7856.3624999999993</v>
      </c>
      <c r="I25" s="6">
        <f t="shared" si="3"/>
        <v>7947.1874999999991</v>
      </c>
    </row>
    <row r="26" spans="1:9" ht="18">
      <c r="A26" s="22"/>
      <c r="B26" s="2" t="s">
        <v>22</v>
      </c>
      <c r="C26" s="5">
        <f>C25/C18</f>
        <v>0.17299999999999999</v>
      </c>
      <c r="D26" s="5">
        <f t="shared" ref="D26:I26" si="4">D25/D18</f>
        <v>0.17085093167701865</v>
      </c>
      <c r="E26" s="5">
        <f t="shared" si="4"/>
        <v>0.16200000000000001</v>
      </c>
      <c r="F26" s="5">
        <f t="shared" si="4"/>
        <v>0.17300000000000001</v>
      </c>
      <c r="G26" s="5">
        <f t="shared" si="4"/>
        <v>0.16994705882352942</v>
      </c>
      <c r="H26" s="5">
        <f t="shared" si="4"/>
        <v>0.17921556886227544</v>
      </c>
      <c r="I26" s="5">
        <f t="shared" si="4"/>
        <v>0.18348484848484847</v>
      </c>
    </row>
    <row r="27" spans="1:9" ht="18">
      <c r="A27" s="22"/>
      <c r="B27" s="2" t="s">
        <v>23</v>
      </c>
      <c r="C27" s="5">
        <f>SUM(D27:I27)</f>
        <v>1</v>
      </c>
      <c r="D27" s="5">
        <v>0.159</v>
      </c>
      <c r="E27" s="5">
        <v>0.16200000000000001</v>
      </c>
      <c r="F27" s="5">
        <v>0.16400000000000001</v>
      </c>
      <c r="G27" s="5">
        <v>0.16700000000000001</v>
      </c>
      <c r="H27" s="5">
        <v>0.17299999999999999</v>
      </c>
      <c r="I27" s="5">
        <v>0.17499999999999999</v>
      </c>
    </row>
    <row r="28" spans="1:9" ht="18">
      <c r="A28" s="22"/>
      <c r="B28" s="2"/>
    </row>
    <row r="29" spans="1:9" ht="18">
      <c r="A29" s="22"/>
      <c r="B29" s="2" t="s">
        <v>24</v>
      </c>
      <c r="C29" s="6">
        <f>C18*C7</f>
        <v>15750</v>
      </c>
      <c r="D29" s="6">
        <f>D31*$C$29</f>
        <v>2504.25</v>
      </c>
      <c r="E29" s="6">
        <f t="shared" ref="E29:I29" si="5">E31*$C$29</f>
        <v>2535.75</v>
      </c>
      <c r="F29" s="6">
        <f t="shared" si="5"/>
        <v>2646</v>
      </c>
      <c r="G29" s="6">
        <f t="shared" si="5"/>
        <v>2724.75</v>
      </c>
      <c r="H29" s="6">
        <f t="shared" si="5"/>
        <v>2709</v>
      </c>
      <c r="I29" s="6">
        <f t="shared" si="5"/>
        <v>2630.25</v>
      </c>
    </row>
    <row r="30" spans="1:9" ht="18">
      <c r="A30" s="22"/>
      <c r="B30" s="2" t="s">
        <v>25</v>
      </c>
      <c r="C30" s="5">
        <f>C29/C18</f>
        <v>0.06</v>
      </c>
      <c r="D30" s="5">
        <f t="shared" ref="D30:I30" si="6">D29/D18</f>
        <v>5.9254658385093167E-2</v>
      </c>
      <c r="E30" s="5">
        <f t="shared" si="6"/>
        <v>5.5838150289017341E-2</v>
      </c>
      <c r="F30" s="5">
        <f t="shared" si="6"/>
        <v>6.1463414634146341E-2</v>
      </c>
      <c r="G30" s="5">
        <f t="shared" si="6"/>
        <v>6.1058823529411763E-2</v>
      </c>
      <c r="H30" s="5">
        <f t="shared" si="6"/>
        <v>6.1796407185628739E-2</v>
      </c>
      <c r="I30" s="5">
        <f t="shared" si="6"/>
        <v>6.0727272727272727E-2</v>
      </c>
    </row>
    <row r="31" spans="1:9" ht="18">
      <c r="A31" s="22"/>
      <c r="B31" s="2" t="s">
        <v>26</v>
      </c>
      <c r="C31" s="5">
        <f>SUM(D31:I31)</f>
        <v>1</v>
      </c>
      <c r="D31" s="5">
        <v>0.159</v>
      </c>
      <c r="E31" s="5">
        <v>0.161</v>
      </c>
      <c r="F31" s="5">
        <v>0.16800000000000001</v>
      </c>
      <c r="G31" s="5">
        <v>0.17299999999999999</v>
      </c>
      <c r="H31" s="5">
        <v>0.17199999999999999</v>
      </c>
      <c r="I31" s="5">
        <v>0.16700000000000001</v>
      </c>
    </row>
    <row r="32" spans="1:9" ht="18">
      <c r="A32" s="22"/>
      <c r="B32" s="2"/>
    </row>
    <row r="33" spans="1:9" ht="18">
      <c r="A33" s="22"/>
      <c r="B33" s="2" t="s">
        <v>27</v>
      </c>
      <c r="C33" s="6">
        <f>C8*C18</f>
        <v>5250</v>
      </c>
      <c r="D33" s="6">
        <f>$C$33*D35</f>
        <v>876.75</v>
      </c>
      <c r="E33" s="6">
        <f t="shared" ref="E33:I33" si="7">$C$33*E35</f>
        <v>876.75</v>
      </c>
      <c r="F33" s="6">
        <f t="shared" si="7"/>
        <v>876.75</v>
      </c>
      <c r="G33" s="6">
        <f t="shared" si="7"/>
        <v>871.5</v>
      </c>
      <c r="H33" s="6">
        <f t="shared" si="7"/>
        <v>876.75</v>
      </c>
      <c r="I33" s="6">
        <f t="shared" si="7"/>
        <v>871.5</v>
      </c>
    </row>
    <row r="34" spans="1:9" ht="18">
      <c r="A34" s="22"/>
      <c r="B34" s="2" t="s">
        <v>28</v>
      </c>
      <c r="C34" s="5">
        <f>C33/C18</f>
        <v>0.02</v>
      </c>
      <c r="D34" s="5">
        <f t="shared" ref="D34:I34" si="8">D33/D18</f>
        <v>2.0745341614906831E-2</v>
      </c>
      <c r="E34" s="5">
        <f t="shared" si="8"/>
        <v>1.9306358381502891E-2</v>
      </c>
      <c r="F34" s="5">
        <f t="shared" si="8"/>
        <v>2.0365853658536586E-2</v>
      </c>
      <c r="G34" s="5">
        <f t="shared" si="8"/>
        <v>1.9529411764705882E-2</v>
      </c>
      <c r="H34" s="5">
        <f t="shared" si="8"/>
        <v>0.02</v>
      </c>
      <c r="I34" s="5">
        <f t="shared" si="8"/>
        <v>2.012121212121212E-2</v>
      </c>
    </row>
    <row r="35" spans="1:9" ht="18">
      <c r="A35" s="22"/>
      <c r="B35" s="2" t="s">
        <v>29</v>
      </c>
      <c r="C35" s="5">
        <f>SUM(D35:I35)</f>
        <v>1</v>
      </c>
      <c r="D35" s="5">
        <v>0.16700000000000001</v>
      </c>
      <c r="E35" s="5">
        <v>0.16700000000000001</v>
      </c>
      <c r="F35" s="5">
        <v>0.16700000000000001</v>
      </c>
      <c r="G35" s="5">
        <v>0.16600000000000001</v>
      </c>
      <c r="H35" s="5">
        <v>0.16700000000000001</v>
      </c>
      <c r="I35" s="5">
        <v>0.16600000000000001</v>
      </c>
    </row>
    <row r="36" spans="1:9" ht="18">
      <c r="A36" s="22"/>
      <c r="B36" s="2"/>
    </row>
    <row r="37" spans="1:9" ht="18">
      <c r="A37" s="22"/>
      <c r="B37" s="2" t="s">
        <v>30</v>
      </c>
      <c r="C37" s="6">
        <f>SUM(D37:I37)</f>
        <v>330187.5</v>
      </c>
      <c r="D37" s="6">
        <f>(D18+D23+D25+D29+D33)-D21</f>
        <v>55564.087500000009</v>
      </c>
      <c r="E37" s="6">
        <f t="shared" ref="E37:I37" si="9">(E18+E23+E25+E29+E33)-E21</f>
        <v>54156.824999999983</v>
      </c>
      <c r="F37" s="6">
        <f t="shared" si="9"/>
        <v>55370.399999999994</v>
      </c>
      <c r="G37" s="6">
        <f t="shared" si="9"/>
        <v>55130.137499999983</v>
      </c>
      <c r="H37" s="6">
        <f t="shared" si="9"/>
        <v>54829.612500000017</v>
      </c>
      <c r="I37" s="6">
        <f t="shared" si="9"/>
        <v>55136.4375</v>
      </c>
    </row>
    <row r="38" spans="1:9" ht="18">
      <c r="A38" s="22"/>
      <c r="B38" s="2"/>
    </row>
    <row r="39" spans="1:9" ht="18">
      <c r="A39" s="22"/>
      <c r="B39" s="2" t="s">
        <v>31</v>
      </c>
      <c r="C39" s="5"/>
      <c r="D39" s="5"/>
      <c r="E39" s="5"/>
      <c r="F39" s="5"/>
      <c r="G39" s="5"/>
      <c r="H39" s="5"/>
      <c r="I39" s="5"/>
    </row>
    <row r="40" spans="1:9" ht="18">
      <c r="A40" s="22"/>
      <c r="B40" s="2"/>
    </row>
    <row r="41" spans="1:9" ht="18">
      <c r="A41" s="22"/>
      <c r="B41" s="2" t="s">
        <v>32</v>
      </c>
      <c r="C41" s="6">
        <f>C18/C13</f>
        <v>75000</v>
      </c>
      <c r="D41" s="6">
        <f>AVERAGE(D21,D23)</f>
        <v>75075</v>
      </c>
      <c r="E41" s="6">
        <f t="shared" ref="E41:I41" si="10">AVERAGE(E21,E23)</f>
        <v>75412.5</v>
      </c>
      <c r="F41" s="6">
        <f t="shared" si="10"/>
        <v>75075</v>
      </c>
      <c r="G41" s="6">
        <f t="shared" si="10"/>
        <v>75412.5</v>
      </c>
      <c r="H41" s="6">
        <f t="shared" si="10"/>
        <v>74850</v>
      </c>
      <c r="I41" s="6">
        <f t="shared" si="10"/>
        <v>74812.5</v>
      </c>
    </row>
    <row r="42" spans="1:9" ht="18">
      <c r="A42" s="22"/>
      <c r="B42" s="2"/>
    </row>
    <row r="43" spans="1:9" ht="18">
      <c r="A43" s="22"/>
      <c r="B43" s="2" t="s">
        <v>12</v>
      </c>
      <c r="C43" s="7">
        <f>C18/AVERAGE(D21:I21,C23)</f>
        <v>3.5</v>
      </c>
      <c r="D43" s="7">
        <f>D18/(AVERAGE(D21,D23))</f>
        <v>0.56293706293706292</v>
      </c>
      <c r="E43" s="7">
        <f t="shared" ref="E43:I43" si="11">E18/(AVERAGE(E21,E23))</f>
        <v>0.60218796618597714</v>
      </c>
      <c r="F43" s="7">
        <f t="shared" si="11"/>
        <v>0.57342657342657344</v>
      </c>
      <c r="G43" s="7">
        <f t="shared" si="11"/>
        <v>0.59174540029835898</v>
      </c>
      <c r="H43" s="7">
        <f t="shared" si="11"/>
        <v>0.58567134268537069</v>
      </c>
      <c r="I43" s="7">
        <f t="shared" si="11"/>
        <v>0.57894736842105265</v>
      </c>
    </row>
    <row r="44" spans="1:9" ht="18">
      <c r="A44" s="22"/>
      <c r="B44" s="2"/>
    </row>
    <row r="45" spans="1:9" ht="18">
      <c r="A45" s="22"/>
      <c r="B45" s="2" t="s">
        <v>33</v>
      </c>
      <c r="C45" s="6"/>
      <c r="D45" s="6"/>
      <c r="E45" s="6"/>
      <c r="F45" s="6"/>
      <c r="G45" s="6"/>
      <c r="H45" s="6"/>
      <c r="I45" s="6"/>
    </row>
    <row r="46" spans="1:9" ht="18">
      <c r="A46" s="22"/>
      <c r="B46" s="2"/>
    </row>
    <row r="47" spans="1:9" ht="18">
      <c r="A47" s="22"/>
      <c r="B47" s="2" t="s">
        <v>34</v>
      </c>
      <c r="C47" s="6"/>
      <c r="D47" s="6"/>
      <c r="E47" s="6"/>
      <c r="F47" s="6"/>
      <c r="G47" s="6"/>
      <c r="H47" s="6"/>
      <c r="I47" s="6"/>
    </row>
    <row r="48" spans="1:9" ht="18">
      <c r="A48" s="22"/>
      <c r="B48" s="2" t="s">
        <v>35</v>
      </c>
      <c r="C48" s="5"/>
      <c r="D48" s="5"/>
      <c r="E48" s="5"/>
      <c r="F48" s="5"/>
      <c r="G48" s="5"/>
      <c r="H48" s="5"/>
      <c r="I48" s="5"/>
    </row>
    <row r="49" spans="1:9" ht="18">
      <c r="A49" s="22"/>
      <c r="B49" s="2"/>
    </row>
    <row r="50" spans="1:9" ht="18">
      <c r="A50" s="22" t="s">
        <v>2</v>
      </c>
      <c r="B50" s="3"/>
      <c r="C50" s="4" t="s">
        <v>47</v>
      </c>
      <c r="D50" s="3" t="s">
        <v>48</v>
      </c>
      <c r="E50" s="3" t="s">
        <v>49</v>
      </c>
      <c r="F50" s="3" t="s">
        <v>50</v>
      </c>
      <c r="G50" s="3" t="s">
        <v>51</v>
      </c>
      <c r="H50" s="3" t="s">
        <v>52</v>
      </c>
      <c r="I50" s="3" t="s">
        <v>53</v>
      </c>
    </row>
    <row r="51" spans="1:9" ht="18">
      <c r="A51" s="22"/>
      <c r="B51" s="2" t="s">
        <v>36</v>
      </c>
      <c r="C51" s="6"/>
      <c r="D51" s="6"/>
      <c r="E51" s="6"/>
      <c r="F51" s="6"/>
      <c r="G51" s="6"/>
      <c r="H51" s="6"/>
      <c r="I51" s="6"/>
    </row>
    <row r="52" spans="1:9" ht="18">
      <c r="A52" s="22"/>
      <c r="B52" s="2"/>
    </row>
    <row r="53" spans="1:9" ht="18">
      <c r="A53" s="22"/>
      <c r="B53" s="2" t="s">
        <v>37</v>
      </c>
      <c r="C53" s="6"/>
      <c r="D53" s="6"/>
      <c r="E53" s="6"/>
      <c r="F53" s="6"/>
      <c r="G53" s="6"/>
      <c r="H53" s="6"/>
      <c r="I53" s="6"/>
    </row>
    <row r="54" spans="1:9" ht="18">
      <c r="A54" s="22"/>
      <c r="B54" s="2"/>
    </row>
    <row r="55" spans="1:9" ht="18">
      <c r="A55" s="22"/>
      <c r="B55" s="2" t="s">
        <v>38</v>
      </c>
      <c r="C55" s="6"/>
      <c r="D55" s="6"/>
      <c r="E55" s="6"/>
      <c r="F55" s="6"/>
      <c r="G55" s="6"/>
      <c r="H55" s="6"/>
      <c r="I55" s="6"/>
    </row>
    <row r="56" spans="1:9" ht="18">
      <c r="A56" s="22"/>
      <c r="B56" s="2"/>
    </row>
    <row r="57" spans="1:9" ht="18">
      <c r="A57" s="22"/>
      <c r="B57" s="2" t="s">
        <v>39</v>
      </c>
      <c r="C57" s="6"/>
      <c r="D57" s="6"/>
      <c r="E57" s="6"/>
      <c r="F57" s="6"/>
      <c r="G57" s="6"/>
      <c r="H57" s="6"/>
      <c r="I57" s="6"/>
    </row>
    <row r="58" spans="1:9" ht="18">
      <c r="A58" s="22"/>
      <c r="B58" s="2"/>
    </row>
    <row r="59" spans="1:9" ht="18">
      <c r="A59" s="22"/>
      <c r="B59" s="2" t="s">
        <v>40</v>
      </c>
      <c r="C59" s="6"/>
      <c r="D59" s="6"/>
      <c r="E59" s="6"/>
      <c r="F59" s="6"/>
      <c r="G59" s="6"/>
      <c r="H59" s="6"/>
      <c r="I59" s="6"/>
    </row>
    <row r="60" spans="1:9" ht="18">
      <c r="A60" s="22"/>
      <c r="B60" s="2"/>
    </row>
    <row r="61" spans="1:9" ht="18">
      <c r="A61" s="22"/>
      <c r="B61" s="2" t="s">
        <v>41</v>
      </c>
      <c r="C61" s="6"/>
      <c r="D61" s="6"/>
      <c r="E61" s="6"/>
      <c r="F61" s="6"/>
      <c r="G61" s="6"/>
      <c r="H61" s="6"/>
      <c r="I61" s="6"/>
    </row>
  </sheetData>
  <mergeCells count="5">
    <mergeCell ref="A1:I1"/>
    <mergeCell ref="A2:I2"/>
    <mergeCell ref="A3:A16"/>
    <mergeCell ref="A17:A49"/>
    <mergeCell ref="A50:A61"/>
  </mergeCells>
  <printOptions horizontalCentered="1" gridLines="1"/>
  <pageMargins left="0" right="0" top="0.75" bottom="0.25" header="0.5" footer="0.5"/>
  <pageSetup scale="50" orientation="landscape" r:id="rId1"/>
  <headerFooter>
    <oddHeader>&amp;LZara Black&amp;C&amp;D&amp;R&amp;T</oddHeader>
    <oddFooter>&amp;C&amp;A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1"/>
  <sheetViews>
    <sheetView topLeftCell="A29" workbookViewId="0">
      <selection activeCell="I53" sqref="I53"/>
    </sheetView>
  </sheetViews>
  <sheetFormatPr defaultRowHeight="15"/>
  <cols>
    <col min="1" max="1" width="4.7109375" customWidth="1"/>
    <col min="2" max="2" width="42.7109375" customWidth="1"/>
    <col min="3" max="3" width="17.7109375" style="1" customWidth="1"/>
    <col min="4" max="4" width="18.5703125" style="1" customWidth="1"/>
    <col min="5" max="9" width="17.7109375" style="1" customWidth="1"/>
  </cols>
  <sheetData>
    <row r="1" spans="1:9" ht="18" customHeight="1">
      <c r="A1" s="23" t="s">
        <v>42</v>
      </c>
      <c r="B1" s="23"/>
      <c r="C1" s="23"/>
      <c r="D1" s="23"/>
      <c r="E1" s="23"/>
      <c r="F1" s="23"/>
      <c r="G1" s="23"/>
      <c r="H1" s="23"/>
      <c r="I1" s="23"/>
    </row>
    <row r="2" spans="1:9" ht="18.75">
      <c r="A2" s="24" t="s">
        <v>43</v>
      </c>
      <c r="B2" s="25"/>
      <c r="C2" s="25"/>
      <c r="D2" s="25"/>
      <c r="E2" s="25"/>
      <c r="F2" s="25"/>
      <c r="G2" s="25"/>
      <c r="H2" s="25"/>
      <c r="I2" s="25"/>
    </row>
    <row r="3" spans="1:9" ht="18" customHeight="1">
      <c r="A3" s="22" t="s">
        <v>0</v>
      </c>
      <c r="B3" s="3" t="s">
        <v>44</v>
      </c>
      <c r="C3" s="3" t="s">
        <v>45</v>
      </c>
      <c r="D3" s="3" t="s">
        <v>46</v>
      </c>
    </row>
    <row r="4" spans="1:9" ht="18">
      <c r="A4" s="22"/>
      <c r="B4" s="2" t="s">
        <v>3</v>
      </c>
      <c r="C4" s="5">
        <v>0.05</v>
      </c>
      <c r="D4" s="6">
        <v>250000</v>
      </c>
    </row>
    <row r="5" spans="1:9" ht="18">
      <c r="A5" s="22"/>
      <c r="B5" s="2" t="s">
        <v>4</v>
      </c>
      <c r="C5" s="5">
        <f>(C9+C10+C6+C7+C8+C11-C12)/(C19+C6+C7+C8)</f>
        <v>0.61532322426177177</v>
      </c>
    </row>
    <row r="6" spans="1:9" ht="18">
      <c r="A6" s="22"/>
      <c r="B6" s="2" t="s">
        <v>5</v>
      </c>
      <c r="C6" s="5">
        <v>0.17299999999999999</v>
      </c>
    </row>
    <row r="7" spans="1:9" ht="18">
      <c r="A7" s="22"/>
      <c r="B7" s="2" t="s">
        <v>6</v>
      </c>
      <c r="C7" s="5">
        <v>0.06</v>
      </c>
    </row>
    <row r="8" spans="1:9" ht="18">
      <c r="A8" s="22"/>
      <c r="B8" s="2" t="s">
        <v>7</v>
      </c>
      <c r="C8" s="5">
        <v>0.02</v>
      </c>
    </row>
    <row r="9" spans="1:9" ht="18">
      <c r="A9" s="22"/>
      <c r="B9" s="2" t="s">
        <v>8</v>
      </c>
      <c r="C9" s="5">
        <v>0.46400000000000002</v>
      </c>
    </row>
    <row r="10" spans="1:9" ht="18">
      <c r="A10" s="22"/>
      <c r="B10" s="2" t="s">
        <v>9</v>
      </c>
      <c r="C10" s="5">
        <v>8.5999999999999993E-2</v>
      </c>
    </row>
    <row r="11" spans="1:9" ht="18">
      <c r="A11" s="22"/>
      <c r="B11" s="2" t="s">
        <v>10</v>
      </c>
      <c r="C11" s="5">
        <v>1.7999999999999999E-2</v>
      </c>
    </row>
    <row r="12" spans="1:9" ht="18">
      <c r="A12" s="22"/>
      <c r="B12" s="2" t="s">
        <v>11</v>
      </c>
      <c r="C12" s="5">
        <v>0.05</v>
      </c>
    </row>
    <row r="13" spans="1:9" ht="18">
      <c r="A13" s="22"/>
      <c r="B13" s="2" t="s">
        <v>12</v>
      </c>
      <c r="C13" s="7">
        <v>3.5</v>
      </c>
    </row>
    <row r="14" spans="1:9" ht="18">
      <c r="A14" s="22"/>
      <c r="B14" s="2" t="s">
        <v>13</v>
      </c>
      <c r="C14" s="5">
        <v>0.06</v>
      </c>
    </row>
    <row r="15" spans="1:9" ht="18">
      <c r="A15" s="22"/>
      <c r="B15" s="2" t="s">
        <v>14</v>
      </c>
      <c r="C15" s="5">
        <f>C5-(C6+C7+C8)*(C19-C5)</f>
        <v>0.51800000000000002</v>
      </c>
    </row>
    <row r="16" spans="1:9" ht="18">
      <c r="A16" s="22"/>
      <c r="B16" s="2" t="s">
        <v>15</v>
      </c>
      <c r="C16" s="6"/>
    </row>
    <row r="17" spans="1:9" ht="18">
      <c r="A17" s="22" t="s">
        <v>1</v>
      </c>
      <c r="B17" s="3"/>
      <c r="C17" s="4" t="s">
        <v>47</v>
      </c>
      <c r="D17" s="3" t="s">
        <v>48</v>
      </c>
      <c r="E17" s="3" t="s">
        <v>49</v>
      </c>
      <c r="F17" s="3" t="s">
        <v>50</v>
      </c>
      <c r="G17" s="3" t="s">
        <v>51</v>
      </c>
      <c r="H17" s="3" t="s">
        <v>52</v>
      </c>
      <c r="I17" s="3" t="s">
        <v>53</v>
      </c>
    </row>
    <row r="18" spans="1:9" ht="18">
      <c r="A18" s="22"/>
      <c r="B18" s="2" t="s">
        <v>16</v>
      </c>
      <c r="C18" s="6">
        <f>D4+(D4*C4)</f>
        <v>262500</v>
      </c>
      <c r="D18" s="6">
        <f>D19*$C$18</f>
        <v>42262.5</v>
      </c>
      <c r="E18" s="6">
        <f t="shared" ref="E18:I18" si="0">E19*$C$18</f>
        <v>45412.5</v>
      </c>
      <c r="F18" s="6">
        <f t="shared" si="0"/>
        <v>43050</v>
      </c>
      <c r="G18" s="6">
        <f t="shared" si="0"/>
        <v>44625</v>
      </c>
      <c r="H18" s="6">
        <f t="shared" si="0"/>
        <v>43837.5</v>
      </c>
      <c r="I18" s="6">
        <f t="shared" si="0"/>
        <v>43312.5</v>
      </c>
    </row>
    <row r="19" spans="1:9" ht="18">
      <c r="A19" s="22"/>
      <c r="B19" s="2" t="s">
        <v>17</v>
      </c>
      <c r="C19" s="5">
        <f>SUM(D19:I19)</f>
        <v>1</v>
      </c>
      <c r="D19" s="5">
        <v>0.161</v>
      </c>
      <c r="E19" s="5">
        <v>0.17299999999999999</v>
      </c>
      <c r="F19" s="5">
        <v>0.16400000000000001</v>
      </c>
      <c r="G19" s="5">
        <v>0.17</v>
      </c>
      <c r="H19" s="5">
        <v>0.16700000000000001</v>
      </c>
      <c r="I19" s="5">
        <v>0.16500000000000001</v>
      </c>
    </row>
    <row r="20" spans="1:9" ht="18">
      <c r="A20" s="22"/>
      <c r="B20" s="11"/>
      <c r="D20" s="9"/>
    </row>
    <row r="21" spans="1:9" ht="18">
      <c r="A21" s="22"/>
      <c r="B21" s="2" t="s">
        <v>18</v>
      </c>
      <c r="C21" s="6">
        <f>($C$18/$C$13)*0.5*(1+(D18/($C$18/6)))</f>
        <v>73725</v>
      </c>
      <c r="D21" s="10">
        <f t="shared" ref="D21:I21" si="1">($C$18/$C$13)*0.5*(1+(D18/43750))</f>
        <v>73725</v>
      </c>
      <c r="E21" s="10">
        <f t="shared" si="1"/>
        <v>76425.000000000015</v>
      </c>
      <c r="F21" s="10">
        <f t="shared" si="1"/>
        <v>74400</v>
      </c>
      <c r="G21" s="10">
        <f t="shared" si="1"/>
        <v>75750</v>
      </c>
      <c r="H21" s="10">
        <f t="shared" si="1"/>
        <v>75074.999999999985</v>
      </c>
      <c r="I21" s="10">
        <f t="shared" si="1"/>
        <v>74625</v>
      </c>
    </row>
    <row r="22" spans="1:9" ht="18">
      <c r="A22" s="22"/>
      <c r="B22" s="2" t="s">
        <v>19</v>
      </c>
      <c r="C22" s="8"/>
      <c r="D22" s="12">
        <f>D21/D18</f>
        <v>1.7444543034605147</v>
      </c>
      <c r="E22" s="12">
        <f t="shared" ref="E22:I22" si="2">E21/E18</f>
        <v>1.6829066886870359</v>
      </c>
      <c r="F22" s="12">
        <f t="shared" si="2"/>
        <v>1.7282229965156795</v>
      </c>
      <c r="G22" s="12">
        <f t="shared" si="2"/>
        <v>1.6974789915966386</v>
      </c>
      <c r="H22" s="12">
        <f t="shared" si="2"/>
        <v>1.7125748502994009</v>
      </c>
      <c r="I22" s="12">
        <f t="shared" si="2"/>
        <v>1.722943722943723</v>
      </c>
    </row>
    <row r="23" spans="1:9" ht="18">
      <c r="A23" s="22"/>
      <c r="B23" s="2" t="s">
        <v>20</v>
      </c>
      <c r="C23" s="10">
        <f>AVERAGE(D21:I21)</f>
        <v>75000</v>
      </c>
      <c r="D23" s="10">
        <f>($C$18/$C$13)*0.5*(1+(E18/43750))</f>
        <v>76425.000000000015</v>
      </c>
      <c r="E23" s="10">
        <f>($C$18/$C$13)*0.5*(1+(F18/43750))</f>
        <v>74400</v>
      </c>
      <c r="F23" s="10">
        <f>($C$18/$C$13)*0.5*(1+(G18/43750))</f>
        <v>75750</v>
      </c>
      <c r="G23" s="10">
        <f>($C$18/$C$13)*0.5*(1+(H18/43750))</f>
        <v>75074.999999999985</v>
      </c>
      <c r="H23" s="10">
        <f>($C$18/$C$13)*0.5*(1+(I18/43750))</f>
        <v>74625</v>
      </c>
      <c r="I23" s="10">
        <f>AVERAGE(D21:I21)</f>
        <v>75000</v>
      </c>
    </row>
    <row r="24" spans="1:9" ht="18">
      <c r="A24" s="22"/>
      <c r="B24" s="2"/>
    </row>
    <row r="25" spans="1:9" ht="18">
      <c r="A25" s="22"/>
      <c r="B25" s="2" t="s">
        <v>21</v>
      </c>
      <c r="C25" s="6">
        <f>C6*C18</f>
        <v>45412.5</v>
      </c>
      <c r="D25" s="6">
        <f>$C$25*D27</f>
        <v>7220.5875000000005</v>
      </c>
      <c r="E25" s="6">
        <f t="shared" ref="E25:I25" si="3">$C$25*E27</f>
        <v>7356.8249999999998</v>
      </c>
      <c r="F25" s="6">
        <f t="shared" si="3"/>
        <v>7447.6500000000005</v>
      </c>
      <c r="G25" s="6">
        <f t="shared" si="3"/>
        <v>7583.8875000000007</v>
      </c>
      <c r="H25" s="6">
        <f t="shared" si="3"/>
        <v>7856.3624999999993</v>
      </c>
      <c r="I25" s="6">
        <f t="shared" si="3"/>
        <v>7947.1874999999991</v>
      </c>
    </row>
    <row r="26" spans="1:9" ht="18">
      <c r="A26" s="22"/>
      <c r="B26" s="2" t="s">
        <v>22</v>
      </c>
      <c r="C26" s="5">
        <f>C25/C18</f>
        <v>0.17299999999999999</v>
      </c>
      <c r="D26" s="5">
        <f t="shared" ref="D26:I26" si="4">D25/D18</f>
        <v>0.17085093167701865</v>
      </c>
      <c r="E26" s="5">
        <f t="shared" si="4"/>
        <v>0.16200000000000001</v>
      </c>
      <c r="F26" s="5">
        <f t="shared" si="4"/>
        <v>0.17300000000000001</v>
      </c>
      <c r="G26" s="5">
        <f t="shared" si="4"/>
        <v>0.16994705882352942</v>
      </c>
      <c r="H26" s="5">
        <f t="shared" si="4"/>
        <v>0.17921556886227544</v>
      </c>
      <c r="I26" s="5">
        <f t="shared" si="4"/>
        <v>0.18348484848484847</v>
      </c>
    </row>
    <row r="27" spans="1:9" ht="18">
      <c r="A27" s="22"/>
      <c r="B27" s="2" t="s">
        <v>23</v>
      </c>
      <c r="C27" s="5">
        <f>SUM(D27:I27)</f>
        <v>1</v>
      </c>
      <c r="D27" s="5">
        <v>0.159</v>
      </c>
      <c r="E27" s="5">
        <v>0.16200000000000001</v>
      </c>
      <c r="F27" s="5">
        <v>0.16400000000000001</v>
      </c>
      <c r="G27" s="5">
        <v>0.16700000000000001</v>
      </c>
      <c r="H27" s="5">
        <v>0.17299999999999999</v>
      </c>
      <c r="I27" s="5">
        <v>0.17499999999999999</v>
      </c>
    </row>
    <row r="28" spans="1:9" ht="18">
      <c r="A28" s="22"/>
      <c r="B28" s="2"/>
    </row>
    <row r="29" spans="1:9" ht="18">
      <c r="A29" s="22"/>
      <c r="B29" s="2" t="s">
        <v>24</v>
      </c>
      <c r="C29" s="6">
        <f>C18*C7</f>
        <v>15750</v>
      </c>
      <c r="D29" s="6">
        <f>D31*$C$29</f>
        <v>2504.25</v>
      </c>
      <c r="E29" s="6">
        <f t="shared" ref="E29:I29" si="5">E31*$C$29</f>
        <v>2535.75</v>
      </c>
      <c r="F29" s="6">
        <f t="shared" si="5"/>
        <v>2646</v>
      </c>
      <c r="G29" s="6">
        <f t="shared" si="5"/>
        <v>2724.75</v>
      </c>
      <c r="H29" s="6">
        <f t="shared" si="5"/>
        <v>2709</v>
      </c>
      <c r="I29" s="6">
        <f t="shared" si="5"/>
        <v>2630.25</v>
      </c>
    </row>
    <row r="30" spans="1:9" ht="18">
      <c r="A30" s="22"/>
      <c r="B30" s="2" t="s">
        <v>25</v>
      </c>
      <c r="C30" s="5">
        <f>C29/C18</f>
        <v>0.06</v>
      </c>
      <c r="D30" s="5">
        <f t="shared" ref="D30:I30" si="6">D29/D18</f>
        <v>5.9254658385093167E-2</v>
      </c>
      <c r="E30" s="5">
        <f t="shared" si="6"/>
        <v>5.5838150289017341E-2</v>
      </c>
      <c r="F30" s="5">
        <f t="shared" si="6"/>
        <v>6.1463414634146341E-2</v>
      </c>
      <c r="G30" s="5">
        <f t="shared" si="6"/>
        <v>6.1058823529411763E-2</v>
      </c>
      <c r="H30" s="5">
        <f t="shared" si="6"/>
        <v>6.1796407185628739E-2</v>
      </c>
      <c r="I30" s="5">
        <f t="shared" si="6"/>
        <v>6.0727272727272727E-2</v>
      </c>
    </row>
    <row r="31" spans="1:9" ht="18">
      <c r="A31" s="22"/>
      <c r="B31" s="2" t="s">
        <v>26</v>
      </c>
      <c r="C31" s="5">
        <f>SUM(D31:I31)</f>
        <v>1</v>
      </c>
      <c r="D31" s="5">
        <v>0.159</v>
      </c>
      <c r="E31" s="5">
        <v>0.161</v>
      </c>
      <c r="F31" s="5">
        <v>0.16800000000000001</v>
      </c>
      <c r="G31" s="5">
        <v>0.17299999999999999</v>
      </c>
      <c r="H31" s="5">
        <v>0.17199999999999999</v>
      </c>
      <c r="I31" s="5">
        <v>0.16700000000000001</v>
      </c>
    </row>
    <row r="32" spans="1:9" ht="18">
      <c r="A32" s="22"/>
      <c r="B32" s="2"/>
    </row>
    <row r="33" spans="1:9" ht="18">
      <c r="A33" s="22"/>
      <c r="B33" s="2" t="s">
        <v>27</v>
      </c>
      <c r="C33" s="6">
        <f>C8*C18</f>
        <v>5250</v>
      </c>
      <c r="D33" s="6">
        <f>$C$33*D35</f>
        <v>876.75</v>
      </c>
      <c r="E33" s="6">
        <f t="shared" ref="E33:I33" si="7">$C$33*E35</f>
        <v>876.75</v>
      </c>
      <c r="F33" s="6">
        <f t="shared" si="7"/>
        <v>876.75</v>
      </c>
      <c r="G33" s="6">
        <f t="shared" si="7"/>
        <v>871.5</v>
      </c>
      <c r="H33" s="6">
        <f t="shared" si="7"/>
        <v>876.75</v>
      </c>
      <c r="I33" s="6">
        <f t="shared" si="7"/>
        <v>871.5</v>
      </c>
    </row>
    <row r="34" spans="1:9" ht="18">
      <c r="A34" s="22"/>
      <c r="B34" s="2" t="s">
        <v>28</v>
      </c>
      <c r="C34" s="5">
        <f>C33/C18</f>
        <v>0.02</v>
      </c>
      <c r="D34" s="5">
        <f t="shared" ref="D34:I34" si="8">D33/D18</f>
        <v>2.0745341614906831E-2</v>
      </c>
      <c r="E34" s="5">
        <f t="shared" si="8"/>
        <v>1.9306358381502891E-2</v>
      </c>
      <c r="F34" s="5">
        <f t="shared" si="8"/>
        <v>2.0365853658536586E-2</v>
      </c>
      <c r="G34" s="5">
        <f t="shared" si="8"/>
        <v>1.9529411764705882E-2</v>
      </c>
      <c r="H34" s="5">
        <f t="shared" si="8"/>
        <v>0.02</v>
      </c>
      <c r="I34" s="5">
        <f t="shared" si="8"/>
        <v>2.012121212121212E-2</v>
      </c>
    </row>
    <row r="35" spans="1:9" ht="18">
      <c r="A35" s="22"/>
      <c r="B35" s="2" t="s">
        <v>29</v>
      </c>
      <c r="C35" s="5">
        <f>SUM(D35:I35)</f>
        <v>1</v>
      </c>
      <c r="D35" s="5">
        <v>0.16700000000000001</v>
      </c>
      <c r="E35" s="5">
        <v>0.16700000000000001</v>
      </c>
      <c r="F35" s="5">
        <v>0.16700000000000001</v>
      </c>
      <c r="G35" s="5">
        <v>0.16600000000000001</v>
      </c>
      <c r="H35" s="5">
        <v>0.16700000000000001</v>
      </c>
      <c r="I35" s="5">
        <v>0.16600000000000001</v>
      </c>
    </row>
    <row r="36" spans="1:9" ht="18">
      <c r="A36" s="22"/>
      <c r="B36" s="2"/>
    </row>
    <row r="37" spans="1:9" ht="18">
      <c r="A37" s="22"/>
      <c r="B37" s="2" t="s">
        <v>30</v>
      </c>
      <c r="C37" s="6">
        <f>SUM(D37:I37)</f>
        <v>330187.5</v>
      </c>
      <c r="D37" s="6">
        <f>(D18+D23+D25+D29+D33)-D21</f>
        <v>55564.087500000009</v>
      </c>
      <c r="E37" s="6">
        <f t="shared" ref="E37:I37" si="9">(E18+E23+E25+E29+E33)-E21</f>
        <v>54156.824999999983</v>
      </c>
      <c r="F37" s="6">
        <f t="shared" si="9"/>
        <v>55370.399999999994</v>
      </c>
      <c r="G37" s="6">
        <f t="shared" si="9"/>
        <v>55130.137499999983</v>
      </c>
      <c r="H37" s="6">
        <f t="shared" si="9"/>
        <v>54829.612500000017</v>
      </c>
      <c r="I37" s="6">
        <f t="shared" si="9"/>
        <v>55136.4375</v>
      </c>
    </row>
    <row r="38" spans="1:9" ht="18">
      <c r="A38" s="22"/>
      <c r="B38" s="2"/>
    </row>
    <row r="39" spans="1:9" ht="18">
      <c r="A39" s="22"/>
      <c r="B39" s="2" t="s">
        <v>31</v>
      </c>
      <c r="C39" s="5"/>
      <c r="D39" s="5"/>
      <c r="E39" s="5"/>
      <c r="F39" s="5"/>
      <c r="G39" s="5"/>
      <c r="H39" s="5"/>
      <c r="I39" s="5"/>
    </row>
    <row r="40" spans="1:9" ht="18">
      <c r="A40" s="22"/>
      <c r="B40" s="2"/>
    </row>
    <row r="41" spans="1:9" ht="18">
      <c r="A41" s="22"/>
      <c r="B41" s="2" t="s">
        <v>32</v>
      </c>
      <c r="C41" s="6">
        <f>C18/C13</f>
        <v>75000</v>
      </c>
      <c r="D41" s="6">
        <f>AVERAGE(D21,D23)</f>
        <v>75075</v>
      </c>
      <c r="E41" s="6">
        <f t="shared" ref="E41:I41" si="10">AVERAGE(E21,E23)</f>
        <v>75412.5</v>
      </c>
      <c r="F41" s="6">
        <f t="shared" si="10"/>
        <v>75075</v>
      </c>
      <c r="G41" s="6">
        <f t="shared" si="10"/>
        <v>75412.5</v>
      </c>
      <c r="H41" s="6">
        <f t="shared" si="10"/>
        <v>74850</v>
      </c>
      <c r="I41" s="6">
        <f t="shared" si="10"/>
        <v>74812.5</v>
      </c>
    </row>
    <row r="42" spans="1:9" ht="18">
      <c r="A42" s="22"/>
      <c r="B42" s="2"/>
    </row>
    <row r="43" spans="1:9" ht="18">
      <c r="A43" s="22"/>
      <c r="B43" s="2" t="s">
        <v>12</v>
      </c>
      <c r="C43" s="7">
        <f>C18/AVERAGE(D21:I21,C23)</f>
        <v>3.5</v>
      </c>
      <c r="D43" s="7">
        <f>D18/(AVERAGE(D21,D23))</f>
        <v>0.56293706293706292</v>
      </c>
      <c r="E43" s="7">
        <f t="shared" ref="E43:I43" si="11">E18/(AVERAGE(E21,E23))</f>
        <v>0.60218796618597714</v>
      </c>
      <c r="F43" s="7">
        <f t="shared" si="11"/>
        <v>0.57342657342657344</v>
      </c>
      <c r="G43" s="7">
        <f t="shared" si="11"/>
        <v>0.59174540029835898</v>
      </c>
      <c r="H43" s="7">
        <f t="shared" si="11"/>
        <v>0.58567134268537069</v>
      </c>
      <c r="I43" s="7">
        <f t="shared" si="11"/>
        <v>0.57894736842105265</v>
      </c>
    </row>
    <row r="44" spans="1:9" ht="18">
      <c r="A44" s="22"/>
      <c r="B44" s="2"/>
    </row>
    <row r="45" spans="1:9" ht="18">
      <c r="A45" s="22"/>
      <c r="B45" s="2" t="s">
        <v>33</v>
      </c>
      <c r="C45" s="6"/>
      <c r="D45" s="6"/>
      <c r="E45" s="6"/>
      <c r="F45" s="6"/>
      <c r="G45" s="6"/>
      <c r="H45" s="6"/>
      <c r="I45" s="6"/>
    </row>
    <row r="46" spans="1:9" ht="18">
      <c r="A46" s="22"/>
      <c r="B46" s="2"/>
    </row>
    <row r="47" spans="1:9" ht="18">
      <c r="A47" s="22"/>
      <c r="B47" s="2" t="s">
        <v>34</v>
      </c>
      <c r="C47" s="6"/>
      <c r="D47" s="6"/>
      <c r="E47" s="6"/>
      <c r="F47" s="6"/>
      <c r="G47" s="6"/>
      <c r="H47" s="6"/>
      <c r="I47" s="6"/>
    </row>
    <row r="48" spans="1:9" ht="18">
      <c r="A48" s="22"/>
      <c r="B48" s="2" t="s">
        <v>35</v>
      </c>
      <c r="C48" s="5"/>
      <c r="D48" s="5"/>
      <c r="E48" s="5"/>
      <c r="F48" s="5"/>
      <c r="G48" s="5"/>
      <c r="H48" s="5"/>
      <c r="I48" s="5"/>
    </row>
    <row r="49" spans="1:9" ht="18">
      <c r="A49" s="22"/>
      <c r="B49" s="2"/>
    </row>
    <row r="50" spans="1:9" ht="18">
      <c r="A50" s="22" t="s">
        <v>2</v>
      </c>
      <c r="B50" s="3"/>
      <c r="C50" s="4" t="s">
        <v>47</v>
      </c>
      <c r="D50" s="3" t="s">
        <v>48</v>
      </c>
      <c r="E50" s="3" t="s">
        <v>49</v>
      </c>
      <c r="F50" s="3" t="s">
        <v>50</v>
      </c>
      <c r="G50" s="3" t="s">
        <v>51</v>
      </c>
      <c r="H50" s="3" t="s">
        <v>52</v>
      </c>
      <c r="I50" s="3" t="s">
        <v>53</v>
      </c>
    </row>
    <row r="51" spans="1:9" ht="18">
      <c r="A51" s="22"/>
      <c r="B51" s="2" t="s">
        <v>36</v>
      </c>
      <c r="C51" s="6">
        <f>SUM(D51:I51)</f>
        <v>127015.46288906623</v>
      </c>
      <c r="D51" s="6">
        <f>D37*($C$19-$C$5)</f>
        <v>21374.214026336795</v>
      </c>
      <c r="E51" s="6">
        <f t="shared" ref="E51:I51" si="12">E37*($C$19-$C$5)</f>
        <v>20832.872825219467</v>
      </c>
      <c r="F51" s="6">
        <f t="shared" si="12"/>
        <v>21299.70694333599</v>
      </c>
      <c r="G51" s="6">
        <f t="shared" si="12"/>
        <v>21207.283539505181</v>
      </c>
      <c r="H51" s="6">
        <f t="shared" si="12"/>
        <v>21091.678551476463</v>
      </c>
      <c r="I51" s="6">
        <f t="shared" si="12"/>
        <v>21209.707003192336</v>
      </c>
    </row>
    <row r="52" spans="1:9" ht="18">
      <c r="A52" s="22"/>
      <c r="B52" s="2"/>
    </row>
    <row r="53" spans="1:9" ht="18">
      <c r="A53" s="22"/>
      <c r="B53" s="2" t="s">
        <v>37</v>
      </c>
      <c r="C53" s="6">
        <f>SUM(D53:I53)</f>
        <v>7620.927773343974</v>
      </c>
      <c r="D53" s="6">
        <f>$C$14*D51</f>
        <v>1282.4528415802076</v>
      </c>
      <c r="E53" s="6">
        <f t="shared" ref="E53:I53" si="13">$C$14*E51</f>
        <v>1249.9723695131679</v>
      </c>
      <c r="F53" s="6">
        <f t="shared" si="13"/>
        <v>1277.9824166001595</v>
      </c>
      <c r="G53" s="6">
        <f t="shared" si="13"/>
        <v>1272.4370123703109</v>
      </c>
      <c r="H53" s="6">
        <f t="shared" si="13"/>
        <v>1265.5007130885876</v>
      </c>
      <c r="I53" s="6">
        <f t="shared" si="13"/>
        <v>1272.58242019154</v>
      </c>
    </row>
    <row r="54" spans="1:9" ht="18">
      <c r="A54" s="22"/>
      <c r="B54" s="2"/>
    </row>
    <row r="55" spans="1:9" ht="18">
      <c r="A55" s="22"/>
      <c r="B55" s="2" t="s">
        <v>38</v>
      </c>
      <c r="C55" s="6"/>
      <c r="D55" s="6"/>
      <c r="E55" s="6"/>
      <c r="F55" s="6"/>
      <c r="G55" s="6"/>
      <c r="H55" s="6"/>
      <c r="I55" s="6"/>
    </row>
    <row r="56" spans="1:9" ht="18">
      <c r="A56" s="22"/>
      <c r="B56" s="2"/>
    </row>
    <row r="57" spans="1:9" ht="18">
      <c r="A57" s="22"/>
      <c r="B57" s="2" t="s">
        <v>39</v>
      </c>
      <c r="C57" s="6"/>
      <c r="D57" s="6"/>
      <c r="E57" s="6"/>
      <c r="F57" s="6"/>
      <c r="G57" s="6"/>
      <c r="H57" s="6"/>
      <c r="I57" s="6"/>
    </row>
    <row r="58" spans="1:9" ht="18">
      <c r="A58" s="22"/>
      <c r="B58" s="2"/>
    </row>
    <row r="59" spans="1:9" ht="18">
      <c r="A59" s="22"/>
      <c r="B59" s="2" t="s">
        <v>40</v>
      </c>
      <c r="C59" s="6"/>
      <c r="D59" s="6"/>
      <c r="E59" s="6"/>
      <c r="F59" s="6"/>
      <c r="G59" s="6"/>
      <c r="H59" s="6"/>
      <c r="I59" s="6"/>
    </row>
    <row r="60" spans="1:9" ht="18">
      <c r="A60" s="22"/>
      <c r="B60" s="2"/>
    </row>
    <row r="61" spans="1:9" ht="18">
      <c r="A61" s="22"/>
      <c r="B61" s="2" t="s">
        <v>41</v>
      </c>
      <c r="C61" s="6"/>
      <c r="D61" s="6"/>
      <c r="E61" s="6"/>
      <c r="F61" s="6"/>
      <c r="G61" s="6"/>
      <c r="H61" s="6"/>
      <c r="I61" s="6"/>
    </row>
  </sheetData>
  <mergeCells count="5">
    <mergeCell ref="A1:I1"/>
    <mergeCell ref="A2:I2"/>
    <mergeCell ref="A3:A16"/>
    <mergeCell ref="A17:A49"/>
    <mergeCell ref="A50:A61"/>
  </mergeCells>
  <printOptions horizontalCentered="1" gridLines="1"/>
  <pageMargins left="0" right="0" top="0.75" bottom="0.25" header="0.5" footer="0.5"/>
  <pageSetup scale="50" orientation="landscape" r:id="rId1"/>
  <headerFooter>
    <oddHeader>&amp;LZara Black&amp;C&amp;D&amp;R&amp;T</oddHeader>
    <oddFooter>&amp;C&amp;A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1"/>
  <sheetViews>
    <sheetView topLeftCell="A47" workbookViewId="0">
      <selection activeCell="C61" sqref="C61"/>
    </sheetView>
  </sheetViews>
  <sheetFormatPr defaultRowHeight="15"/>
  <cols>
    <col min="1" max="1" width="4.7109375" customWidth="1"/>
    <col min="2" max="2" width="42.7109375" customWidth="1"/>
    <col min="3" max="3" width="17.7109375" style="1" customWidth="1"/>
    <col min="4" max="4" width="18.5703125" style="1" customWidth="1"/>
    <col min="5" max="9" width="17.7109375" style="1" customWidth="1"/>
  </cols>
  <sheetData>
    <row r="1" spans="1:9" ht="18" customHeight="1">
      <c r="A1" s="23" t="s">
        <v>42</v>
      </c>
      <c r="B1" s="23"/>
      <c r="C1" s="23"/>
      <c r="D1" s="23"/>
      <c r="E1" s="23"/>
      <c r="F1" s="23"/>
      <c r="G1" s="23"/>
      <c r="H1" s="23"/>
      <c r="I1" s="23"/>
    </row>
    <row r="2" spans="1:9" ht="18.75">
      <c r="A2" s="24" t="s">
        <v>43</v>
      </c>
      <c r="B2" s="25"/>
      <c r="C2" s="25"/>
      <c r="D2" s="25"/>
      <c r="E2" s="25"/>
      <c r="F2" s="25"/>
      <c r="G2" s="25"/>
      <c r="H2" s="25"/>
      <c r="I2" s="25"/>
    </row>
    <row r="3" spans="1:9" ht="18" customHeight="1">
      <c r="A3" s="22" t="s">
        <v>0</v>
      </c>
      <c r="B3" s="3" t="s">
        <v>44</v>
      </c>
      <c r="C3" s="3" t="s">
        <v>45</v>
      </c>
      <c r="D3" s="3" t="s">
        <v>46</v>
      </c>
    </row>
    <row r="4" spans="1:9" ht="18">
      <c r="A4" s="22"/>
      <c r="B4" s="2" t="s">
        <v>3</v>
      </c>
      <c r="C4" s="5">
        <v>0.05</v>
      </c>
      <c r="D4" s="6">
        <v>250000</v>
      </c>
    </row>
    <row r="5" spans="1:9" ht="18">
      <c r="A5" s="22"/>
      <c r="B5" s="2" t="s">
        <v>4</v>
      </c>
      <c r="C5" s="5">
        <f>(C9+C10+C6+C7+C8+C11-C12)/(C19+C6+C7+C8)</f>
        <v>0.61532322426177177</v>
      </c>
    </row>
    <row r="6" spans="1:9" ht="18">
      <c r="A6" s="22"/>
      <c r="B6" s="2" t="s">
        <v>5</v>
      </c>
      <c r="C6" s="5">
        <v>0.17299999999999999</v>
      </c>
    </row>
    <row r="7" spans="1:9" ht="18">
      <c r="A7" s="22"/>
      <c r="B7" s="2" t="s">
        <v>6</v>
      </c>
      <c r="C7" s="5">
        <v>0.06</v>
      </c>
    </row>
    <row r="8" spans="1:9" ht="18">
      <c r="A8" s="22"/>
      <c r="B8" s="2" t="s">
        <v>7</v>
      </c>
      <c r="C8" s="5">
        <v>0.02</v>
      </c>
    </row>
    <row r="9" spans="1:9" ht="18">
      <c r="A9" s="22"/>
      <c r="B9" s="2" t="s">
        <v>8</v>
      </c>
      <c r="C9" s="5">
        <v>0.46400000000000002</v>
      </c>
    </row>
    <row r="10" spans="1:9" ht="18">
      <c r="A10" s="22"/>
      <c r="B10" s="2" t="s">
        <v>9</v>
      </c>
      <c r="C10" s="5">
        <v>8.5999999999999993E-2</v>
      </c>
    </row>
    <row r="11" spans="1:9" ht="18">
      <c r="A11" s="22"/>
      <c r="B11" s="2" t="s">
        <v>10</v>
      </c>
      <c r="C11" s="5">
        <v>1.7999999999999999E-2</v>
      </c>
    </row>
    <row r="12" spans="1:9" ht="18">
      <c r="A12" s="22"/>
      <c r="B12" s="2" t="s">
        <v>11</v>
      </c>
      <c r="C12" s="5">
        <v>0.05</v>
      </c>
    </row>
    <row r="13" spans="1:9" ht="18">
      <c r="A13" s="22"/>
      <c r="B13" s="2" t="s">
        <v>12</v>
      </c>
      <c r="C13" s="7">
        <v>3.5</v>
      </c>
    </row>
    <row r="14" spans="1:9" ht="18">
      <c r="A14" s="22"/>
      <c r="B14" s="2" t="s">
        <v>13</v>
      </c>
      <c r="C14" s="5">
        <v>0.06</v>
      </c>
    </row>
    <row r="15" spans="1:9" ht="18">
      <c r="A15" s="22"/>
      <c r="B15" s="2" t="s">
        <v>14</v>
      </c>
      <c r="C15" s="5">
        <f>C5-(C6+C7+C8)*(C19-C5)</f>
        <v>0.51800000000000002</v>
      </c>
    </row>
    <row r="16" spans="1:9" ht="18">
      <c r="A16" s="22"/>
      <c r="B16" s="2" t="s">
        <v>15</v>
      </c>
      <c r="C16" s="6"/>
    </row>
    <row r="17" spans="1:9" ht="18">
      <c r="A17" s="22" t="s">
        <v>1</v>
      </c>
      <c r="B17" s="3"/>
      <c r="C17" s="4" t="s">
        <v>47</v>
      </c>
      <c r="D17" s="3" t="s">
        <v>48</v>
      </c>
      <c r="E17" s="3" t="s">
        <v>49</v>
      </c>
      <c r="F17" s="3" t="s">
        <v>50</v>
      </c>
      <c r="G17" s="3" t="s">
        <v>51</v>
      </c>
      <c r="H17" s="3" t="s">
        <v>52</v>
      </c>
      <c r="I17" s="3" t="s">
        <v>53</v>
      </c>
    </row>
    <row r="18" spans="1:9" ht="18">
      <c r="A18" s="22"/>
      <c r="B18" s="2" t="s">
        <v>16</v>
      </c>
      <c r="C18" s="6">
        <f>D4+(D4*C4)</f>
        <v>262500</v>
      </c>
      <c r="D18" s="6">
        <f>D19*$C$18</f>
        <v>42262.5</v>
      </c>
      <c r="E18" s="6">
        <f t="shared" ref="E18:I18" si="0">E19*$C$18</f>
        <v>45412.5</v>
      </c>
      <c r="F18" s="6">
        <f t="shared" si="0"/>
        <v>43050</v>
      </c>
      <c r="G18" s="6">
        <f t="shared" si="0"/>
        <v>44625</v>
      </c>
      <c r="H18" s="6">
        <f t="shared" si="0"/>
        <v>43837.5</v>
      </c>
      <c r="I18" s="6">
        <f t="shared" si="0"/>
        <v>43312.5</v>
      </c>
    </row>
    <row r="19" spans="1:9" ht="18">
      <c r="A19" s="22"/>
      <c r="B19" s="2" t="s">
        <v>17</v>
      </c>
      <c r="C19" s="5">
        <f>SUM(D19:I19)</f>
        <v>1</v>
      </c>
      <c r="D19" s="5">
        <v>0.161</v>
      </c>
      <c r="E19" s="5">
        <v>0.17299999999999999</v>
      </c>
      <c r="F19" s="5">
        <v>0.16400000000000001</v>
      </c>
      <c r="G19" s="5">
        <v>0.17</v>
      </c>
      <c r="H19" s="5">
        <v>0.16700000000000001</v>
      </c>
      <c r="I19" s="5">
        <v>0.16500000000000001</v>
      </c>
    </row>
    <row r="20" spans="1:9" ht="18">
      <c r="A20" s="22"/>
      <c r="B20" s="11"/>
      <c r="D20" s="9"/>
    </row>
    <row r="21" spans="1:9" ht="18">
      <c r="A21" s="22"/>
      <c r="B21" s="2" t="s">
        <v>18</v>
      </c>
      <c r="C21" s="6">
        <f>($C$18/$C$13)*0.5*(1+(D18/($C$18/6)))</f>
        <v>73725</v>
      </c>
      <c r="D21" s="10">
        <f t="shared" ref="D21:I21" si="1">($C$18/$C$13)*0.5*(1+(D18/43750))</f>
        <v>73725</v>
      </c>
      <c r="E21" s="10">
        <f t="shared" si="1"/>
        <v>76425.000000000015</v>
      </c>
      <c r="F21" s="10">
        <f t="shared" si="1"/>
        <v>74400</v>
      </c>
      <c r="G21" s="10">
        <f t="shared" si="1"/>
        <v>75750</v>
      </c>
      <c r="H21" s="10">
        <f t="shared" si="1"/>
        <v>75074.999999999985</v>
      </c>
      <c r="I21" s="10">
        <f t="shared" si="1"/>
        <v>74625</v>
      </c>
    </row>
    <row r="22" spans="1:9" ht="18">
      <c r="A22" s="22"/>
      <c r="B22" s="2" t="s">
        <v>19</v>
      </c>
      <c r="C22" s="8"/>
      <c r="D22" s="12">
        <f>D21/D18</f>
        <v>1.7444543034605147</v>
      </c>
      <c r="E22" s="12">
        <f t="shared" ref="E22:I22" si="2">E21/E18</f>
        <v>1.6829066886870359</v>
      </c>
      <c r="F22" s="12">
        <f t="shared" si="2"/>
        <v>1.7282229965156795</v>
      </c>
      <c r="G22" s="12">
        <f t="shared" si="2"/>
        <v>1.6974789915966386</v>
      </c>
      <c r="H22" s="12">
        <f t="shared" si="2"/>
        <v>1.7125748502994009</v>
      </c>
      <c r="I22" s="12">
        <f t="shared" si="2"/>
        <v>1.722943722943723</v>
      </c>
    </row>
    <row r="23" spans="1:9" ht="18">
      <c r="A23" s="22"/>
      <c r="B23" s="2" t="s">
        <v>20</v>
      </c>
      <c r="C23" s="10">
        <f>AVERAGE(D21:I21)</f>
        <v>75000</v>
      </c>
      <c r="D23" s="10">
        <f>($C$18/$C$13)*0.5*(1+(E18/43750))</f>
        <v>76425.000000000015</v>
      </c>
      <c r="E23" s="10">
        <f>($C$18/$C$13)*0.5*(1+(F18/43750))</f>
        <v>74400</v>
      </c>
      <c r="F23" s="10">
        <f>($C$18/$C$13)*0.5*(1+(G18/43750))</f>
        <v>75750</v>
      </c>
      <c r="G23" s="10">
        <f>($C$18/$C$13)*0.5*(1+(H18/43750))</f>
        <v>75074.999999999985</v>
      </c>
      <c r="H23" s="10">
        <f>($C$18/$C$13)*0.5*(1+(I18/43750))</f>
        <v>74625</v>
      </c>
      <c r="I23" s="10">
        <f>AVERAGE(D21:I21)</f>
        <v>75000</v>
      </c>
    </row>
    <row r="24" spans="1:9" ht="18">
      <c r="A24" s="22"/>
      <c r="B24" s="2"/>
    </row>
    <row r="25" spans="1:9" ht="18">
      <c r="A25" s="22"/>
      <c r="B25" s="2" t="s">
        <v>21</v>
      </c>
      <c r="C25" s="6">
        <f>C6*C18</f>
        <v>45412.5</v>
      </c>
      <c r="D25" s="6">
        <f>$C$25*D27</f>
        <v>7220.5875000000005</v>
      </c>
      <c r="E25" s="6">
        <f t="shared" ref="E25:I25" si="3">$C$25*E27</f>
        <v>7356.8249999999998</v>
      </c>
      <c r="F25" s="6">
        <f t="shared" si="3"/>
        <v>7447.6500000000005</v>
      </c>
      <c r="G25" s="6">
        <f t="shared" si="3"/>
        <v>7583.8875000000007</v>
      </c>
      <c r="H25" s="6">
        <f t="shared" si="3"/>
        <v>7856.3624999999993</v>
      </c>
      <c r="I25" s="6">
        <f t="shared" si="3"/>
        <v>7947.1874999999991</v>
      </c>
    </row>
    <row r="26" spans="1:9" ht="18">
      <c r="A26" s="22"/>
      <c r="B26" s="2" t="s">
        <v>22</v>
      </c>
      <c r="C26" s="5">
        <f>C25/C18</f>
        <v>0.17299999999999999</v>
      </c>
      <c r="D26" s="5">
        <f t="shared" ref="D26:I26" si="4">D25/D18</f>
        <v>0.17085093167701865</v>
      </c>
      <c r="E26" s="5">
        <f t="shared" si="4"/>
        <v>0.16200000000000001</v>
      </c>
      <c r="F26" s="5">
        <f t="shared" si="4"/>
        <v>0.17300000000000001</v>
      </c>
      <c r="G26" s="5">
        <f t="shared" si="4"/>
        <v>0.16994705882352942</v>
      </c>
      <c r="H26" s="5">
        <f t="shared" si="4"/>
        <v>0.17921556886227544</v>
      </c>
      <c r="I26" s="5">
        <f t="shared" si="4"/>
        <v>0.18348484848484847</v>
      </c>
    </row>
    <row r="27" spans="1:9" ht="18">
      <c r="A27" s="22"/>
      <c r="B27" s="2" t="s">
        <v>23</v>
      </c>
      <c r="C27" s="5">
        <f>SUM(D27:I27)</f>
        <v>1</v>
      </c>
      <c r="D27" s="5">
        <v>0.159</v>
      </c>
      <c r="E27" s="5">
        <v>0.16200000000000001</v>
      </c>
      <c r="F27" s="5">
        <v>0.16400000000000001</v>
      </c>
      <c r="G27" s="5">
        <v>0.16700000000000001</v>
      </c>
      <c r="H27" s="5">
        <v>0.17299999999999999</v>
      </c>
      <c r="I27" s="5">
        <v>0.17499999999999999</v>
      </c>
    </row>
    <row r="28" spans="1:9" ht="18">
      <c r="A28" s="22"/>
      <c r="B28" s="2"/>
    </row>
    <row r="29" spans="1:9" ht="18">
      <c r="A29" s="22"/>
      <c r="B29" s="2" t="s">
        <v>24</v>
      </c>
      <c r="C29" s="6">
        <f>C18*C7</f>
        <v>15750</v>
      </c>
      <c r="D29" s="6">
        <f>D31*$C$29</f>
        <v>2504.25</v>
      </c>
      <c r="E29" s="6">
        <f t="shared" ref="E29:I29" si="5">E31*$C$29</f>
        <v>2535.75</v>
      </c>
      <c r="F29" s="6">
        <f t="shared" si="5"/>
        <v>2646</v>
      </c>
      <c r="G29" s="6">
        <f t="shared" si="5"/>
        <v>2724.75</v>
      </c>
      <c r="H29" s="6">
        <f t="shared" si="5"/>
        <v>2709</v>
      </c>
      <c r="I29" s="6">
        <f t="shared" si="5"/>
        <v>2630.25</v>
      </c>
    </row>
    <row r="30" spans="1:9" ht="18">
      <c r="A30" s="22"/>
      <c r="B30" s="2" t="s">
        <v>25</v>
      </c>
      <c r="C30" s="5">
        <f>C29/C18</f>
        <v>0.06</v>
      </c>
      <c r="D30" s="5">
        <f t="shared" ref="D30:I30" si="6">D29/D18</f>
        <v>5.9254658385093167E-2</v>
      </c>
      <c r="E30" s="5">
        <f t="shared" si="6"/>
        <v>5.5838150289017341E-2</v>
      </c>
      <c r="F30" s="5">
        <f t="shared" si="6"/>
        <v>6.1463414634146341E-2</v>
      </c>
      <c r="G30" s="5">
        <f t="shared" si="6"/>
        <v>6.1058823529411763E-2</v>
      </c>
      <c r="H30" s="5">
        <f t="shared" si="6"/>
        <v>6.1796407185628739E-2</v>
      </c>
      <c r="I30" s="5">
        <f t="shared" si="6"/>
        <v>6.0727272727272727E-2</v>
      </c>
    </row>
    <row r="31" spans="1:9" ht="18">
      <c r="A31" s="22"/>
      <c r="B31" s="2" t="s">
        <v>26</v>
      </c>
      <c r="C31" s="5">
        <f>SUM(D31:I31)</f>
        <v>1</v>
      </c>
      <c r="D31" s="5">
        <v>0.159</v>
      </c>
      <c r="E31" s="5">
        <v>0.161</v>
      </c>
      <c r="F31" s="5">
        <v>0.16800000000000001</v>
      </c>
      <c r="G31" s="5">
        <v>0.17299999999999999</v>
      </c>
      <c r="H31" s="5">
        <v>0.17199999999999999</v>
      </c>
      <c r="I31" s="5">
        <v>0.16700000000000001</v>
      </c>
    </row>
    <row r="32" spans="1:9" ht="18">
      <c r="A32" s="22"/>
      <c r="B32" s="2"/>
    </row>
    <row r="33" spans="1:9" ht="18">
      <c r="A33" s="22"/>
      <c r="B33" s="2" t="s">
        <v>27</v>
      </c>
      <c r="C33" s="6">
        <f>C8*C18</f>
        <v>5250</v>
      </c>
      <c r="D33" s="6">
        <f>$C$33*D35</f>
        <v>876.75</v>
      </c>
      <c r="E33" s="6">
        <f t="shared" ref="E33:I33" si="7">$C$33*E35</f>
        <v>876.75</v>
      </c>
      <c r="F33" s="6">
        <f t="shared" si="7"/>
        <v>876.75</v>
      </c>
      <c r="G33" s="6">
        <f t="shared" si="7"/>
        <v>871.5</v>
      </c>
      <c r="H33" s="6">
        <f t="shared" si="7"/>
        <v>876.75</v>
      </c>
      <c r="I33" s="6">
        <f t="shared" si="7"/>
        <v>871.5</v>
      </c>
    </row>
    <row r="34" spans="1:9" ht="18">
      <c r="A34" s="22"/>
      <c r="B34" s="2" t="s">
        <v>28</v>
      </c>
      <c r="C34" s="5">
        <f>C33/C18</f>
        <v>0.02</v>
      </c>
      <c r="D34" s="5">
        <f t="shared" ref="D34:I34" si="8">D33/D18</f>
        <v>2.0745341614906831E-2</v>
      </c>
      <c r="E34" s="5">
        <f t="shared" si="8"/>
        <v>1.9306358381502891E-2</v>
      </c>
      <c r="F34" s="5">
        <f t="shared" si="8"/>
        <v>2.0365853658536586E-2</v>
      </c>
      <c r="G34" s="5">
        <f t="shared" si="8"/>
        <v>1.9529411764705882E-2</v>
      </c>
      <c r="H34" s="5">
        <f t="shared" si="8"/>
        <v>0.02</v>
      </c>
      <c r="I34" s="5">
        <f t="shared" si="8"/>
        <v>2.012121212121212E-2</v>
      </c>
    </row>
    <row r="35" spans="1:9" ht="18">
      <c r="A35" s="22"/>
      <c r="B35" s="2" t="s">
        <v>29</v>
      </c>
      <c r="C35" s="5">
        <f>SUM(D35:I35)</f>
        <v>1</v>
      </c>
      <c r="D35" s="5">
        <v>0.16700000000000001</v>
      </c>
      <c r="E35" s="5">
        <v>0.16700000000000001</v>
      </c>
      <c r="F35" s="5">
        <v>0.16700000000000001</v>
      </c>
      <c r="G35" s="5">
        <v>0.16600000000000001</v>
      </c>
      <c r="H35" s="5">
        <v>0.16700000000000001</v>
      </c>
      <c r="I35" s="5">
        <v>0.16600000000000001</v>
      </c>
    </row>
    <row r="36" spans="1:9" ht="18">
      <c r="A36" s="22"/>
      <c r="B36" s="2"/>
    </row>
    <row r="37" spans="1:9" ht="18">
      <c r="A37" s="22"/>
      <c r="B37" s="2" t="s">
        <v>30</v>
      </c>
      <c r="C37" s="6">
        <f>SUM(D37:I37)</f>
        <v>330187.5</v>
      </c>
      <c r="D37" s="6">
        <f>(D18+D23+D25+D29+D33)-D21</f>
        <v>55564.087500000009</v>
      </c>
      <c r="E37" s="6">
        <f t="shared" ref="E37:I37" si="9">(E18+E23+E25+E29+E33)-E21</f>
        <v>54156.824999999983</v>
      </c>
      <c r="F37" s="6">
        <f t="shared" si="9"/>
        <v>55370.399999999994</v>
      </c>
      <c r="G37" s="6">
        <f t="shared" si="9"/>
        <v>55130.137499999983</v>
      </c>
      <c r="H37" s="6">
        <f t="shared" si="9"/>
        <v>54829.612500000017</v>
      </c>
      <c r="I37" s="6">
        <f t="shared" si="9"/>
        <v>55136.4375</v>
      </c>
    </row>
    <row r="38" spans="1:9" ht="18">
      <c r="A38" s="22"/>
      <c r="B38" s="2"/>
    </row>
    <row r="39" spans="1:9" ht="18">
      <c r="A39" s="22"/>
      <c r="B39" s="2" t="s">
        <v>31</v>
      </c>
      <c r="C39" s="5">
        <v>0.56799999999999995</v>
      </c>
      <c r="D39" s="5">
        <v>0.51500000000000001</v>
      </c>
      <c r="E39" s="5">
        <v>0.54700000000000004</v>
      </c>
      <c r="F39" s="5">
        <v>0.56599999999999995</v>
      </c>
      <c r="G39" s="5">
        <v>0.57699999999999996</v>
      </c>
      <c r="H39" s="5">
        <v>0.58399999999999996</v>
      </c>
      <c r="I39" s="5">
        <v>0.58699999999999997</v>
      </c>
    </row>
    <row r="40" spans="1:9" ht="18">
      <c r="A40" s="22"/>
      <c r="B40" s="2"/>
    </row>
    <row r="41" spans="1:9" ht="18">
      <c r="A41" s="22"/>
      <c r="B41" s="2" t="s">
        <v>32</v>
      </c>
      <c r="C41" s="6">
        <f>C18/C13</f>
        <v>75000</v>
      </c>
      <c r="D41" s="6">
        <f>AVERAGE(D21,D23)</f>
        <v>75075</v>
      </c>
      <c r="E41" s="6">
        <f t="shared" ref="E41:I41" si="10">AVERAGE(E21,E23)</f>
        <v>75412.5</v>
      </c>
      <c r="F41" s="6">
        <f t="shared" si="10"/>
        <v>75075</v>
      </c>
      <c r="G41" s="6">
        <f t="shared" si="10"/>
        <v>75412.5</v>
      </c>
      <c r="H41" s="6">
        <f t="shared" si="10"/>
        <v>74850</v>
      </c>
      <c r="I41" s="6">
        <f t="shared" si="10"/>
        <v>74812.5</v>
      </c>
    </row>
    <row r="42" spans="1:9" ht="18">
      <c r="A42" s="22"/>
      <c r="B42" s="2"/>
    </row>
    <row r="43" spans="1:9" ht="18">
      <c r="A43" s="22"/>
      <c r="B43" s="2" t="s">
        <v>12</v>
      </c>
      <c r="C43" s="7">
        <f>C18/AVERAGE(D21:I21,C23)</f>
        <v>3.5</v>
      </c>
      <c r="D43" s="7">
        <f>D18/(AVERAGE(D21,D23))</f>
        <v>0.56293706293706292</v>
      </c>
      <c r="E43" s="7">
        <f t="shared" ref="E43:I43" si="11">E18/(AVERAGE(E21,E23))</f>
        <v>0.60218796618597714</v>
      </c>
      <c r="F43" s="7">
        <f t="shared" si="11"/>
        <v>0.57342657342657344</v>
      </c>
      <c r="G43" s="7">
        <f t="shared" si="11"/>
        <v>0.59174540029835898</v>
      </c>
      <c r="H43" s="7">
        <f t="shared" si="11"/>
        <v>0.58567134268537069</v>
      </c>
      <c r="I43" s="7">
        <f t="shared" si="11"/>
        <v>0.57894736842105265</v>
      </c>
    </row>
    <row r="44" spans="1:9" ht="18">
      <c r="A44" s="22"/>
      <c r="B44" s="2"/>
    </row>
    <row r="45" spans="1:9" ht="18">
      <c r="A45" s="22"/>
      <c r="B45" s="2" t="s">
        <v>33</v>
      </c>
      <c r="C45" s="6">
        <f>C55+C37</f>
        <v>370187.5</v>
      </c>
      <c r="D45" s="6">
        <f>D55+D37</f>
        <v>95564.087500000009</v>
      </c>
      <c r="E45" s="6">
        <f t="shared" ref="E45:I45" si="12">E55+E37</f>
        <v>91222.949999999983</v>
      </c>
      <c r="F45" s="6">
        <f t="shared" si="12"/>
        <v>89073.599999999991</v>
      </c>
      <c r="G45" s="6">
        <f t="shared" si="12"/>
        <v>88005.637499999983</v>
      </c>
      <c r="H45" s="6">
        <f t="shared" si="12"/>
        <v>86586.337500000023</v>
      </c>
      <c r="I45" s="6">
        <f t="shared" si="12"/>
        <v>86180.4375</v>
      </c>
    </row>
    <row r="46" spans="1:9" ht="18">
      <c r="A46" s="22"/>
      <c r="B46" s="2"/>
    </row>
    <row r="47" spans="1:9" ht="18">
      <c r="A47" s="22"/>
      <c r="B47" s="2" t="s">
        <v>34</v>
      </c>
      <c r="C47" s="6"/>
      <c r="D47" s="6"/>
      <c r="E47" s="6"/>
      <c r="F47" s="6"/>
      <c r="G47" s="6"/>
      <c r="H47" s="6"/>
      <c r="I47" s="6"/>
    </row>
    <row r="48" spans="1:9" ht="18">
      <c r="A48" s="22"/>
      <c r="B48" s="2" t="s">
        <v>35</v>
      </c>
      <c r="C48" s="5"/>
      <c r="D48" s="5"/>
      <c r="E48" s="5"/>
      <c r="F48" s="5"/>
      <c r="G48" s="5"/>
      <c r="H48" s="5"/>
      <c r="I48" s="5"/>
    </row>
    <row r="49" spans="1:9" ht="18">
      <c r="A49" s="22"/>
      <c r="B49" s="2"/>
    </row>
    <row r="50" spans="1:9" ht="18">
      <c r="A50" s="22" t="s">
        <v>2</v>
      </c>
      <c r="B50" s="3"/>
      <c r="C50" s="4" t="s">
        <v>47</v>
      </c>
      <c r="D50" s="3" t="s">
        <v>48</v>
      </c>
      <c r="E50" s="3" t="s">
        <v>49</v>
      </c>
      <c r="F50" s="3" t="s">
        <v>50</v>
      </c>
      <c r="G50" s="3" t="s">
        <v>51</v>
      </c>
      <c r="H50" s="3" t="s">
        <v>52</v>
      </c>
      <c r="I50" s="3" t="s">
        <v>53</v>
      </c>
    </row>
    <row r="51" spans="1:9" ht="18">
      <c r="A51" s="22"/>
      <c r="B51" s="2" t="s">
        <v>36</v>
      </c>
      <c r="C51" s="6">
        <f>SUM(D51:I51)</f>
        <v>127015.46288906623</v>
      </c>
      <c r="D51" s="6">
        <f>D37*($C$19-$C$5)</f>
        <v>21374.214026336795</v>
      </c>
      <c r="E51" s="6">
        <f t="shared" ref="E51:I51" si="13">E37*($C$19-$C$5)</f>
        <v>20832.872825219467</v>
      </c>
      <c r="F51" s="6">
        <f t="shared" si="13"/>
        <v>21299.70694333599</v>
      </c>
      <c r="G51" s="6">
        <f t="shared" si="13"/>
        <v>21207.283539505181</v>
      </c>
      <c r="H51" s="6">
        <f t="shared" si="13"/>
        <v>21091.678551476463</v>
      </c>
      <c r="I51" s="6">
        <f t="shared" si="13"/>
        <v>21209.707003192336</v>
      </c>
    </row>
    <row r="52" spans="1:9" ht="18">
      <c r="A52" s="22"/>
      <c r="B52" s="2"/>
    </row>
    <row r="53" spans="1:9" ht="18">
      <c r="A53" s="22"/>
      <c r="B53" s="2" t="s">
        <v>37</v>
      </c>
      <c r="C53" s="6">
        <f>SUM(D53:I53)</f>
        <v>7620.927773343974</v>
      </c>
      <c r="D53" s="6">
        <f>$C$14*D51</f>
        <v>1282.4528415802076</v>
      </c>
      <c r="E53" s="6">
        <f t="shared" ref="E53:I53" si="14">$C$14*E51</f>
        <v>1249.9723695131679</v>
      </c>
      <c r="F53" s="6">
        <f t="shared" si="14"/>
        <v>1277.9824166001595</v>
      </c>
      <c r="G53" s="6">
        <f t="shared" si="14"/>
        <v>1272.4370123703109</v>
      </c>
      <c r="H53" s="6">
        <f t="shared" si="14"/>
        <v>1265.5007130885876</v>
      </c>
      <c r="I53" s="6">
        <f t="shared" si="14"/>
        <v>1272.58242019154</v>
      </c>
    </row>
    <row r="54" spans="1:9" ht="18">
      <c r="A54" s="22"/>
      <c r="B54" s="2"/>
    </row>
    <row r="55" spans="1:9" ht="18">
      <c r="A55" s="22"/>
      <c r="B55" s="2" t="s">
        <v>38</v>
      </c>
      <c r="C55" s="6">
        <v>40000</v>
      </c>
      <c r="D55" s="6">
        <v>40000</v>
      </c>
      <c r="E55" s="6">
        <f>D23*($C$19-D39)</f>
        <v>37066.125000000007</v>
      </c>
      <c r="F55" s="6">
        <f>E23*($C$19-E39)</f>
        <v>33703.199999999997</v>
      </c>
      <c r="G55" s="6">
        <f>F23*($C$19-F39)</f>
        <v>32875.500000000007</v>
      </c>
      <c r="H55" s="6">
        <f>G23*($C$19-G39)</f>
        <v>31756.724999999999</v>
      </c>
      <c r="I55" s="6">
        <f>H23*($C$19-H39)</f>
        <v>31044.000000000004</v>
      </c>
    </row>
    <row r="56" spans="1:9" ht="18">
      <c r="A56" s="22"/>
      <c r="B56" s="2"/>
    </row>
    <row r="57" spans="1:9" ht="18">
      <c r="A57" s="22"/>
      <c r="B57" s="2" t="s">
        <v>39</v>
      </c>
      <c r="C57" s="6">
        <f>I23*($C$19-I39)</f>
        <v>30975.000000000004</v>
      </c>
      <c r="D57" s="6">
        <f t="shared" ref="D57:I57" si="15">D23*($C$19-D39)</f>
        <v>37066.125000000007</v>
      </c>
      <c r="E57" s="6">
        <f t="shared" si="15"/>
        <v>33703.199999999997</v>
      </c>
      <c r="F57" s="6">
        <f t="shared" si="15"/>
        <v>32875.500000000007</v>
      </c>
      <c r="G57" s="6">
        <f t="shared" si="15"/>
        <v>31756.724999999999</v>
      </c>
      <c r="H57" s="6">
        <f t="shared" si="15"/>
        <v>31044.000000000004</v>
      </c>
      <c r="I57" s="6">
        <f t="shared" si="15"/>
        <v>30975.000000000004</v>
      </c>
    </row>
    <row r="58" spans="1:9" ht="18">
      <c r="A58" s="22"/>
      <c r="B58" s="2"/>
    </row>
    <row r="59" spans="1:9" ht="18">
      <c r="A59" s="22"/>
      <c r="B59" s="2" t="s">
        <v>40</v>
      </c>
      <c r="C59" s="6">
        <f>C51+C53+C55</f>
        <v>174636.39066241021</v>
      </c>
      <c r="D59" s="6">
        <f>D51+D53+D55</f>
        <v>62656.666867917003</v>
      </c>
      <c r="E59" s="6">
        <f>E51+E53+E55</f>
        <v>59148.970194732639</v>
      </c>
      <c r="F59" s="6">
        <f t="shared" ref="F59:I59" si="16">F51+F53+F55</f>
        <v>56280.889359936147</v>
      </c>
      <c r="G59" s="6">
        <f t="shared" si="16"/>
        <v>55355.2205518755</v>
      </c>
      <c r="H59" s="6">
        <f t="shared" si="16"/>
        <v>54113.904264565048</v>
      </c>
      <c r="I59" s="6">
        <f t="shared" si="16"/>
        <v>53526.289423383874</v>
      </c>
    </row>
    <row r="60" spans="1:9" ht="18">
      <c r="A60" s="22"/>
      <c r="B60" s="2"/>
    </row>
    <row r="61" spans="1:9" ht="18">
      <c r="A61" s="22"/>
      <c r="B61" s="2" t="s">
        <v>41</v>
      </c>
      <c r="C61" s="6">
        <f>C59-C57</f>
        <v>143661.39066241021</v>
      </c>
      <c r="D61" s="6">
        <f>D59-D57</f>
        <v>25590.541867916996</v>
      </c>
      <c r="E61" s="6">
        <f t="shared" ref="E61:I61" si="17">E59-E57</f>
        <v>25445.770194732642</v>
      </c>
      <c r="F61" s="6">
        <f t="shared" si="17"/>
        <v>23405.38935993614</v>
      </c>
      <c r="G61" s="6">
        <f t="shared" si="17"/>
        <v>23598.495551875501</v>
      </c>
      <c r="H61" s="6">
        <f t="shared" si="17"/>
        <v>23069.904264565044</v>
      </c>
      <c r="I61" s="6">
        <f t="shared" si="17"/>
        <v>22551.289423383871</v>
      </c>
    </row>
  </sheetData>
  <mergeCells count="5">
    <mergeCell ref="A1:I1"/>
    <mergeCell ref="A2:I2"/>
    <mergeCell ref="A3:A16"/>
    <mergeCell ref="A17:A49"/>
    <mergeCell ref="A50:A61"/>
  </mergeCells>
  <printOptions horizontalCentered="1" gridLines="1"/>
  <pageMargins left="0" right="0" top="0.75" bottom="0.25" header="0.5" footer="0.5"/>
  <pageSetup scale="50" orientation="landscape" r:id="rId1"/>
  <headerFooter>
    <oddHeader>&amp;LZara Black&amp;C&amp;D&amp;R&amp;T</oddHeader>
    <oddFooter>&amp;C&amp;A
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61"/>
  <sheetViews>
    <sheetView tabSelected="1" topLeftCell="B34" zoomScale="90" zoomScaleNormal="90" workbookViewId="0">
      <selection activeCell="D61" sqref="D61"/>
    </sheetView>
  </sheetViews>
  <sheetFormatPr defaultRowHeight="15"/>
  <cols>
    <col min="1" max="1" width="4.7109375" customWidth="1"/>
    <col min="2" max="2" width="42.7109375" customWidth="1"/>
    <col min="3" max="3" width="17.7109375" style="1" customWidth="1"/>
    <col min="4" max="4" width="18.5703125" style="1" customWidth="1"/>
    <col min="5" max="9" width="17.7109375" style="1" customWidth="1"/>
    <col min="11" max="11" width="31.85546875" customWidth="1"/>
    <col min="12" max="12" width="13.85546875" customWidth="1"/>
    <col min="13" max="13" width="13.7109375" customWidth="1"/>
    <col min="14" max="16" width="13.5703125" customWidth="1"/>
    <col min="18" max="18" width="31.85546875" customWidth="1"/>
    <col min="19" max="19" width="13.85546875" customWidth="1"/>
    <col min="20" max="20" width="13.7109375" customWidth="1"/>
    <col min="21" max="23" width="13.5703125" customWidth="1"/>
    <col min="25" max="25" width="31.85546875" customWidth="1"/>
    <col min="26" max="26" width="13.85546875" customWidth="1"/>
    <col min="27" max="27" width="13.7109375" customWidth="1"/>
    <col min="28" max="30" width="13.5703125" customWidth="1"/>
    <col min="32" max="32" width="31.85546875" customWidth="1"/>
    <col min="33" max="33" width="13.85546875" customWidth="1"/>
    <col min="34" max="34" width="13.7109375" customWidth="1"/>
    <col min="35" max="37" width="13.5703125" customWidth="1"/>
    <col min="39" max="39" width="31.85546875" customWidth="1"/>
    <col min="40" max="40" width="13.85546875" customWidth="1"/>
    <col min="41" max="41" width="13.7109375" customWidth="1"/>
    <col min="42" max="44" width="13.5703125" customWidth="1"/>
    <col min="46" max="46" width="31.85546875" customWidth="1"/>
    <col min="47" max="47" width="13.85546875" customWidth="1"/>
    <col min="48" max="48" width="13.7109375" customWidth="1"/>
    <col min="49" max="51" width="13.5703125" customWidth="1"/>
  </cols>
  <sheetData>
    <row r="1" spans="1:51" ht="18" customHeight="1">
      <c r="A1" s="23" t="s">
        <v>42</v>
      </c>
      <c r="B1" s="23"/>
      <c r="C1" s="23"/>
      <c r="D1" s="23"/>
      <c r="E1" s="23"/>
      <c r="F1" s="23"/>
      <c r="G1" s="23"/>
      <c r="H1" s="23"/>
      <c r="I1" s="23"/>
      <c r="K1" s="26" t="str">
        <f>D17</f>
        <v>FEB</v>
      </c>
      <c r="L1" s="26"/>
      <c r="M1" s="26"/>
      <c r="N1" s="26"/>
      <c r="O1" s="26"/>
      <c r="P1" s="26"/>
      <c r="R1" s="26" t="str">
        <f>E17</f>
        <v>MAR</v>
      </c>
      <c r="S1" s="26"/>
      <c r="T1" s="26"/>
      <c r="U1" s="26"/>
      <c r="V1" s="26"/>
      <c r="W1" s="26"/>
      <c r="Y1" s="26" t="str">
        <f>F17</f>
        <v>APR</v>
      </c>
      <c r="Z1" s="26"/>
      <c r="AA1" s="26"/>
      <c r="AB1" s="26"/>
      <c r="AC1" s="26"/>
      <c r="AD1" s="26"/>
      <c r="AF1" s="26" t="str">
        <f>G17</f>
        <v>MAY</v>
      </c>
      <c r="AG1" s="26"/>
      <c r="AH1" s="26"/>
      <c r="AI1" s="26"/>
      <c r="AJ1" s="26"/>
      <c r="AK1" s="26"/>
      <c r="AM1" s="26" t="str">
        <f>H17</f>
        <v>JUN</v>
      </c>
      <c r="AN1" s="26"/>
      <c r="AO1" s="26"/>
      <c r="AP1" s="26"/>
      <c r="AQ1" s="26"/>
      <c r="AR1" s="26"/>
      <c r="AT1" s="26" t="str">
        <f>I17</f>
        <v>JUL</v>
      </c>
      <c r="AU1" s="26"/>
      <c r="AV1" s="26"/>
      <c r="AW1" s="26"/>
      <c r="AX1" s="26"/>
      <c r="AY1" s="26"/>
    </row>
    <row r="2" spans="1:51" ht="18.75">
      <c r="A2" s="24" t="s">
        <v>43</v>
      </c>
      <c r="B2" s="25"/>
      <c r="C2" s="25"/>
      <c r="D2" s="25"/>
      <c r="E2" s="25"/>
      <c r="F2" s="25"/>
      <c r="G2" s="25"/>
      <c r="H2" s="25"/>
      <c r="I2" s="25"/>
      <c r="K2" s="13"/>
      <c r="L2" s="13" t="s">
        <v>55</v>
      </c>
      <c r="M2" s="13" t="s">
        <v>56</v>
      </c>
      <c r="N2" s="13" t="s">
        <v>57</v>
      </c>
      <c r="O2" s="13" t="s">
        <v>58</v>
      </c>
      <c r="P2" s="13" t="s">
        <v>59</v>
      </c>
      <c r="R2" s="13"/>
      <c r="S2" s="13" t="s">
        <v>55</v>
      </c>
      <c r="T2" s="13" t="s">
        <v>56</v>
      </c>
      <c r="U2" s="13" t="s">
        <v>57</v>
      </c>
      <c r="V2" s="13" t="s">
        <v>58</v>
      </c>
      <c r="W2" s="13" t="s">
        <v>59</v>
      </c>
      <c r="Y2" s="13"/>
      <c r="Z2" s="13" t="s">
        <v>55</v>
      </c>
      <c r="AA2" s="13" t="s">
        <v>56</v>
      </c>
      <c r="AB2" s="13" t="s">
        <v>57</v>
      </c>
      <c r="AC2" s="13" t="s">
        <v>58</v>
      </c>
      <c r="AD2" s="13" t="s">
        <v>59</v>
      </c>
      <c r="AF2" s="13"/>
      <c r="AG2" s="13" t="s">
        <v>55</v>
      </c>
      <c r="AH2" s="13" t="s">
        <v>56</v>
      </c>
      <c r="AI2" s="13" t="s">
        <v>57</v>
      </c>
      <c r="AJ2" s="13" t="s">
        <v>58</v>
      </c>
      <c r="AK2" s="13" t="s">
        <v>59</v>
      </c>
      <c r="AM2" s="13"/>
      <c r="AN2" s="13" t="s">
        <v>55</v>
      </c>
      <c r="AO2" s="13" t="s">
        <v>56</v>
      </c>
      <c r="AP2" s="13" t="s">
        <v>57</v>
      </c>
      <c r="AQ2" s="13" t="s">
        <v>58</v>
      </c>
      <c r="AR2" s="13" t="s">
        <v>59</v>
      </c>
      <c r="AT2" s="13"/>
      <c r="AU2" s="13" t="s">
        <v>55</v>
      </c>
      <c r="AV2" s="13" t="s">
        <v>56</v>
      </c>
      <c r="AW2" s="13" t="s">
        <v>57</v>
      </c>
      <c r="AX2" s="13" t="s">
        <v>58</v>
      </c>
      <c r="AY2" s="13" t="s">
        <v>59</v>
      </c>
    </row>
    <row r="3" spans="1:51" ht="18" customHeight="1">
      <c r="A3" s="22" t="s">
        <v>0</v>
      </c>
      <c r="B3" s="3" t="s">
        <v>44</v>
      </c>
      <c r="C3" s="3" t="s">
        <v>45</v>
      </c>
      <c r="D3" s="3" t="s">
        <v>46</v>
      </c>
      <c r="K3" s="13" t="s">
        <v>60</v>
      </c>
      <c r="L3" s="14">
        <f>D55</f>
        <v>40000</v>
      </c>
      <c r="M3" s="14">
        <f>D21</f>
        <v>73725</v>
      </c>
      <c r="N3" s="15">
        <f>(M3-L3)/M3</f>
        <v>0.4574432010851136</v>
      </c>
      <c r="O3" s="13"/>
      <c r="P3" s="15"/>
      <c r="R3" s="13" t="s">
        <v>60</v>
      </c>
      <c r="S3" s="14">
        <f>L14</f>
        <v>37037.431835695781</v>
      </c>
      <c r="T3" s="14">
        <f>M14</f>
        <v>118687.5</v>
      </c>
      <c r="U3" s="15">
        <f>(T3-S3)/T3</f>
        <v>0.68794159590777648</v>
      </c>
      <c r="V3" s="13"/>
      <c r="W3" s="15"/>
      <c r="Y3" s="13" t="s">
        <v>60</v>
      </c>
      <c r="Z3" s="14">
        <f>S14</f>
        <v>33684.232940256996</v>
      </c>
      <c r="AA3" s="14">
        <f>T14</f>
        <v>162074.99999999997</v>
      </c>
      <c r="AB3" s="15">
        <f>(AA3-Z3)/AA3</f>
        <v>0.79216885429426498</v>
      </c>
      <c r="AC3" s="13"/>
      <c r="AD3" s="15"/>
      <c r="AF3" s="13" t="s">
        <v>60</v>
      </c>
      <c r="AG3" s="14">
        <f>Z14</f>
        <v>32841.392291613731</v>
      </c>
      <c r="AH3" s="14">
        <f>AA14</f>
        <v>206474.99999999997</v>
      </c>
      <c r="AI3" s="15">
        <f>(AH3-AG3)/AH3</f>
        <v>0.8409425243171631</v>
      </c>
      <c r="AJ3" s="13"/>
      <c r="AK3" s="15"/>
      <c r="AM3" s="13" t="s">
        <v>60</v>
      </c>
      <c r="AN3" s="14">
        <f>AG14</f>
        <v>31733.100423469161</v>
      </c>
      <c r="AO3" s="14">
        <f>AH14</f>
        <v>250424.99999999994</v>
      </c>
      <c r="AP3" s="15">
        <f>(AO3-AN3)/AO3</f>
        <v>0.87328301717692258</v>
      </c>
      <c r="AQ3" s="13"/>
      <c r="AR3" s="15"/>
      <c r="AT3" s="13" t="s">
        <v>60</v>
      </c>
      <c r="AU3" s="14">
        <f>AN14</f>
        <v>31072.700530318372</v>
      </c>
      <c r="AV3" s="14">
        <f>AO14</f>
        <v>293812.49999999994</v>
      </c>
      <c r="AW3" s="15">
        <f>(AV3-AU3)/AV3</f>
        <v>0.89424309540840374</v>
      </c>
      <c r="AX3" s="13"/>
      <c r="AY3" s="15"/>
    </row>
    <row r="4" spans="1:51" ht="18.75">
      <c r="A4" s="22"/>
      <c r="B4" s="2" t="s">
        <v>3</v>
      </c>
      <c r="C4" s="5">
        <v>0.05</v>
      </c>
      <c r="D4" s="6">
        <v>250000</v>
      </c>
      <c r="K4" s="13" t="s">
        <v>61</v>
      </c>
      <c r="L4" s="14">
        <f>D51</f>
        <v>21374.214026336795</v>
      </c>
      <c r="M4" s="14">
        <f>D37</f>
        <v>55564.087500000009</v>
      </c>
      <c r="N4" s="15">
        <f>(M4-L4)/M4</f>
        <v>0.61532322426177177</v>
      </c>
      <c r="O4" s="13"/>
      <c r="P4" s="15"/>
      <c r="R4" s="13" t="s">
        <v>61</v>
      </c>
      <c r="S4" s="14">
        <f>E51</f>
        <v>20832.872825219467</v>
      </c>
      <c r="T4" s="14">
        <f>E37</f>
        <v>54156.824999999983</v>
      </c>
      <c r="U4" s="15">
        <f>(T4-S4)/T4</f>
        <v>0.61532322426177166</v>
      </c>
      <c r="V4" s="13"/>
      <c r="W4" s="15"/>
      <c r="Y4" s="13" t="s">
        <v>61</v>
      </c>
      <c r="Z4" s="14">
        <f>F51</f>
        <v>21299.70694333599</v>
      </c>
      <c r="AA4" s="14">
        <f>F37</f>
        <v>55370.399999999994</v>
      </c>
      <c r="AB4" s="15">
        <f>(AA4-Z4)/AA4</f>
        <v>0.61532322426177188</v>
      </c>
      <c r="AC4" s="13"/>
      <c r="AD4" s="15"/>
      <c r="AF4" s="13" t="s">
        <v>61</v>
      </c>
      <c r="AG4" s="14">
        <f>G51</f>
        <v>21207.283539505181</v>
      </c>
      <c r="AH4" s="14">
        <f>G37</f>
        <v>55130.137499999983</v>
      </c>
      <c r="AI4" s="15">
        <f>(AH4-AG4)/AH4</f>
        <v>0.61532322426177177</v>
      </c>
      <c r="AJ4" s="13"/>
      <c r="AK4" s="15"/>
      <c r="AM4" s="13" t="s">
        <v>61</v>
      </c>
      <c r="AN4" s="14">
        <f>H51</f>
        <v>21091.678551476463</v>
      </c>
      <c r="AO4" s="14">
        <f>H37</f>
        <v>54829.612500000017</v>
      </c>
      <c r="AP4" s="15">
        <f>(AO4-AN4)/AO4</f>
        <v>0.61532322426177177</v>
      </c>
      <c r="AQ4" s="13"/>
      <c r="AR4" s="15"/>
      <c r="AT4" s="13" t="s">
        <v>61</v>
      </c>
      <c r="AU4" s="14">
        <f>I51</f>
        <v>21209.707003192336</v>
      </c>
      <c r="AV4" s="14">
        <f>I37</f>
        <v>55136.4375</v>
      </c>
      <c r="AW4" s="15">
        <f>(AV4-AU4)/AV4</f>
        <v>0.61532322426177177</v>
      </c>
      <c r="AX4" s="13"/>
      <c r="AY4" s="15"/>
    </row>
    <row r="5" spans="1:51" ht="18.75">
      <c r="A5" s="22"/>
      <c r="B5" s="2" t="s">
        <v>4</v>
      </c>
      <c r="C5" s="5">
        <f>(C9+C10+C6+C7+C8+C11-C12)/(C19+C6+C7+C8)</f>
        <v>0.61532322426177177</v>
      </c>
      <c r="K5" s="13" t="s">
        <v>13</v>
      </c>
      <c r="L5" s="14">
        <f>D53</f>
        <v>1282.4528415802076</v>
      </c>
      <c r="M5" s="13"/>
      <c r="N5" s="15"/>
      <c r="O5" s="13"/>
      <c r="P5" s="15"/>
      <c r="R5" s="13" t="s">
        <v>13</v>
      </c>
      <c r="S5" s="14">
        <f>E53</f>
        <v>1249.9723695131679</v>
      </c>
      <c r="T5" s="13"/>
      <c r="U5" s="15"/>
      <c r="V5" s="13"/>
      <c r="W5" s="15"/>
      <c r="Y5" s="13" t="s">
        <v>13</v>
      </c>
      <c r="Z5" s="14">
        <f>F53</f>
        <v>1277.9824166001595</v>
      </c>
      <c r="AA5" s="13"/>
      <c r="AB5" s="15"/>
      <c r="AC5" s="13"/>
      <c r="AD5" s="15"/>
      <c r="AF5" s="13" t="s">
        <v>13</v>
      </c>
      <c r="AG5" s="14">
        <f>G53</f>
        <v>1272.4370123703109</v>
      </c>
      <c r="AH5" s="13"/>
      <c r="AI5" s="15"/>
      <c r="AJ5" s="13"/>
      <c r="AK5" s="15"/>
      <c r="AM5" s="13" t="s">
        <v>13</v>
      </c>
      <c r="AN5" s="14">
        <f>H53</f>
        <v>1265.5007130885876</v>
      </c>
      <c r="AO5" s="13"/>
      <c r="AP5" s="15"/>
      <c r="AQ5" s="13"/>
      <c r="AR5" s="15"/>
      <c r="AT5" s="13" t="s">
        <v>13</v>
      </c>
      <c r="AU5" s="14">
        <f>I53</f>
        <v>1272.58242019154</v>
      </c>
      <c r="AV5" s="13"/>
      <c r="AW5" s="15"/>
      <c r="AX5" s="13"/>
      <c r="AY5" s="15"/>
    </row>
    <row r="6" spans="1:51" ht="18.75">
      <c r="A6" s="22"/>
      <c r="B6" s="2" t="s">
        <v>5</v>
      </c>
      <c r="C6" s="5">
        <v>0.17299999999999999</v>
      </c>
      <c r="K6" s="13" t="s">
        <v>73</v>
      </c>
      <c r="L6" s="19">
        <f>SUM(L3:L5)</f>
        <v>62656.666867916996</v>
      </c>
      <c r="M6" s="14">
        <f>SUM(M3:M4)</f>
        <v>129289.08750000001</v>
      </c>
      <c r="N6" s="15"/>
      <c r="O6" s="13"/>
      <c r="P6" s="15">
        <f>(M6-L6)/M6</f>
        <v>0.51537544212370601</v>
      </c>
      <c r="R6" s="13" t="s">
        <v>73</v>
      </c>
      <c r="S6" s="19">
        <f>SUM(S3:S5)</f>
        <v>59120.27703042842</v>
      </c>
      <c r="T6" s="14">
        <f>SUM(T3:T4)</f>
        <v>172844.32499999998</v>
      </c>
      <c r="U6" s="15"/>
      <c r="V6" s="13"/>
      <c r="W6" s="15">
        <f>(T6-S6)/T6</f>
        <v>0.65795650490446578</v>
      </c>
      <c r="Y6" s="13" t="s">
        <v>73</v>
      </c>
      <c r="Z6" s="19">
        <f>SUM(Z3:Z5)</f>
        <v>56261.922300193146</v>
      </c>
      <c r="AA6" s="14">
        <f>SUM(AA3:AA4)</f>
        <v>217445.39999999997</v>
      </c>
      <c r="AB6" s="15"/>
      <c r="AC6" s="13"/>
      <c r="AD6" s="15">
        <f>(AA6-Z6)/AA6</f>
        <v>0.74125954239458203</v>
      </c>
      <c r="AF6" s="13" t="s">
        <v>73</v>
      </c>
      <c r="AG6" s="19">
        <f>SUM(AG3:AG5)</f>
        <v>55321.112843489223</v>
      </c>
      <c r="AH6" s="14">
        <f>SUM(AH3:AH4)</f>
        <v>261605.13749999995</v>
      </c>
      <c r="AI6" s="15"/>
      <c r="AJ6" s="13"/>
      <c r="AK6" s="15">
        <f>(AH6-AG6)/AH6</f>
        <v>0.78853200907230181</v>
      </c>
      <c r="AM6" s="13" t="s">
        <v>73</v>
      </c>
      <c r="AN6" s="19">
        <f>SUM(AN3:AN5)</f>
        <v>54090.279688034214</v>
      </c>
      <c r="AO6" s="14">
        <f>SUM(AO3:AO4)</f>
        <v>305254.61249999993</v>
      </c>
      <c r="AP6" s="15"/>
      <c r="AQ6" s="13"/>
      <c r="AR6" s="15">
        <f>(AO6-AN6)/AO6</f>
        <v>0.82280274409273924</v>
      </c>
      <c r="AT6" s="13" t="s">
        <v>73</v>
      </c>
      <c r="AU6" s="19">
        <f>SUM(AU3:AU5)</f>
        <v>53554.989953702243</v>
      </c>
      <c r="AV6" s="14">
        <f>SUM(AV3:AV4)</f>
        <v>348948.93749999994</v>
      </c>
      <c r="AW6" s="15"/>
      <c r="AX6" s="13"/>
      <c r="AY6" s="15">
        <f>(AV6-AU6)/AV6</f>
        <v>0.84652485163763458</v>
      </c>
    </row>
    <row r="7" spans="1:51" ht="18.75">
      <c r="A7" s="22"/>
      <c r="B7" s="2" t="s">
        <v>6</v>
      </c>
      <c r="C7" s="5">
        <v>0.06</v>
      </c>
      <c r="K7" s="13"/>
      <c r="L7" s="13"/>
      <c r="M7" s="13"/>
      <c r="N7" s="15"/>
      <c r="O7" s="13"/>
      <c r="P7" s="15"/>
      <c r="R7" s="13"/>
      <c r="S7" s="13"/>
      <c r="T7" s="13"/>
      <c r="U7" s="15"/>
      <c r="V7" s="13"/>
      <c r="W7" s="15"/>
      <c r="Y7" s="13"/>
      <c r="Z7" s="13"/>
      <c r="AA7" s="13"/>
      <c r="AB7" s="15"/>
      <c r="AC7" s="13"/>
      <c r="AD7" s="15"/>
      <c r="AF7" s="13"/>
      <c r="AG7" s="13"/>
      <c r="AH7" s="13"/>
      <c r="AI7" s="15"/>
      <c r="AJ7" s="13"/>
      <c r="AK7" s="15"/>
      <c r="AM7" s="13"/>
      <c r="AN7" s="13"/>
      <c r="AO7" s="13"/>
      <c r="AP7" s="15"/>
      <c r="AQ7" s="13"/>
      <c r="AR7" s="15"/>
      <c r="AT7" s="13"/>
      <c r="AU7" s="13"/>
      <c r="AV7" s="13"/>
      <c r="AW7" s="15"/>
      <c r="AX7" s="13"/>
      <c r="AY7" s="15"/>
    </row>
    <row r="8" spans="1:51" ht="18.75">
      <c r="A8" s="22"/>
      <c r="B8" s="2" t="s">
        <v>7</v>
      </c>
      <c r="C8" s="5">
        <v>0.02</v>
      </c>
      <c r="K8" s="13" t="s">
        <v>62</v>
      </c>
      <c r="L8" s="13"/>
      <c r="M8" s="14">
        <f>D18</f>
        <v>42262.5</v>
      </c>
      <c r="N8" s="15"/>
      <c r="O8" s="13"/>
      <c r="P8" s="13"/>
      <c r="R8" s="13" t="s">
        <v>62</v>
      </c>
      <c r="S8" s="13"/>
      <c r="T8" s="14">
        <f>E18</f>
        <v>45412.5</v>
      </c>
      <c r="U8" s="15"/>
      <c r="V8" s="13"/>
      <c r="W8" s="13"/>
      <c r="Y8" s="13" t="s">
        <v>62</v>
      </c>
      <c r="Z8" s="13"/>
      <c r="AA8" s="14">
        <f>F18</f>
        <v>43050</v>
      </c>
      <c r="AB8" s="15"/>
      <c r="AC8" s="13"/>
      <c r="AD8" s="13"/>
      <c r="AF8" s="13" t="s">
        <v>62</v>
      </c>
      <c r="AG8" s="13"/>
      <c r="AH8" s="14">
        <f>G18</f>
        <v>44625</v>
      </c>
      <c r="AI8" s="15"/>
      <c r="AJ8" s="13"/>
      <c r="AK8" s="13"/>
      <c r="AM8" s="13" t="s">
        <v>62</v>
      </c>
      <c r="AN8" s="13"/>
      <c r="AO8" s="14">
        <f>H18</f>
        <v>43837.5</v>
      </c>
      <c r="AP8" s="15"/>
      <c r="AQ8" s="13"/>
      <c r="AR8" s="13"/>
      <c r="AT8" s="13" t="s">
        <v>62</v>
      </c>
      <c r="AU8" s="13"/>
      <c r="AV8" s="14">
        <f>I18</f>
        <v>43312.5</v>
      </c>
      <c r="AW8" s="15"/>
      <c r="AX8" s="13"/>
      <c r="AY8" s="13"/>
    </row>
    <row r="9" spans="1:51" ht="18.75">
      <c r="A9" s="22"/>
      <c r="B9" s="2" t="s">
        <v>8</v>
      </c>
      <c r="C9" s="5">
        <v>0.46400000000000002</v>
      </c>
      <c r="K9" s="13" t="s">
        <v>5</v>
      </c>
      <c r="L9" s="13"/>
      <c r="M9" s="14">
        <f>D25</f>
        <v>7220.5875000000005</v>
      </c>
      <c r="N9" s="15"/>
      <c r="O9" s="13"/>
      <c r="P9" s="13"/>
      <c r="R9" s="13" t="s">
        <v>5</v>
      </c>
      <c r="S9" s="13"/>
      <c r="T9" s="14">
        <f>E25</f>
        <v>7356.8249999999998</v>
      </c>
      <c r="U9" s="15"/>
      <c r="V9" s="13"/>
      <c r="W9" s="13"/>
      <c r="Y9" s="13" t="s">
        <v>5</v>
      </c>
      <c r="Z9" s="13"/>
      <c r="AA9" s="14">
        <f>F25</f>
        <v>7447.6500000000005</v>
      </c>
      <c r="AB9" s="15"/>
      <c r="AC9" s="13"/>
      <c r="AD9" s="13"/>
      <c r="AF9" s="13" t="s">
        <v>5</v>
      </c>
      <c r="AG9" s="13"/>
      <c r="AH9" s="14">
        <f>G25</f>
        <v>7583.8875000000007</v>
      </c>
      <c r="AI9" s="15"/>
      <c r="AJ9" s="13"/>
      <c r="AK9" s="13"/>
      <c r="AM9" s="13" t="s">
        <v>5</v>
      </c>
      <c r="AN9" s="13"/>
      <c r="AO9" s="14">
        <f>H25</f>
        <v>7856.3624999999993</v>
      </c>
      <c r="AP9" s="15"/>
      <c r="AQ9" s="13"/>
      <c r="AR9" s="13"/>
      <c r="AT9" s="13" t="s">
        <v>5</v>
      </c>
      <c r="AU9" s="13"/>
      <c r="AV9" s="14">
        <f>I25</f>
        <v>7947.1874999999991</v>
      </c>
      <c r="AW9" s="15"/>
      <c r="AX9" s="13"/>
      <c r="AY9" s="13"/>
    </row>
    <row r="10" spans="1:51" ht="18.75">
      <c r="A10" s="22"/>
      <c r="B10" s="2" t="s">
        <v>9</v>
      </c>
      <c r="C10" s="5">
        <v>8.5999999999999993E-2</v>
      </c>
      <c r="K10" s="13" t="s">
        <v>6</v>
      </c>
      <c r="L10" s="13"/>
      <c r="M10" s="14">
        <f>D29</f>
        <v>2504.25</v>
      </c>
      <c r="N10" s="13"/>
      <c r="O10" s="13"/>
      <c r="P10" s="13"/>
      <c r="R10" s="13" t="s">
        <v>6</v>
      </c>
      <c r="S10" s="13"/>
      <c r="T10" s="14">
        <f>E29</f>
        <v>2535.75</v>
      </c>
      <c r="U10" s="13"/>
      <c r="V10" s="13"/>
      <c r="W10" s="13"/>
      <c r="Y10" s="13" t="s">
        <v>6</v>
      </c>
      <c r="Z10" s="13"/>
      <c r="AA10" s="14">
        <f>F29</f>
        <v>2646</v>
      </c>
      <c r="AB10" s="13"/>
      <c r="AC10" s="13"/>
      <c r="AD10" s="13"/>
      <c r="AF10" s="13" t="s">
        <v>6</v>
      </c>
      <c r="AG10" s="13"/>
      <c r="AH10" s="14">
        <f>G29</f>
        <v>2724.75</v>
      </c>
      <c r="AI10" s="13"/>
      <c r="AJ10" s="13"/>
      <c r="AK10" s="13"/>
      <c r="AM10" s="13" t="s">
        <v>6</v>
      </c>
      <c r="AN10" s="13"/>
      <c r="AO10" s="14">
        <f>H29</f>
        <v>2709</v>
      </c>
      <c r="AP10" s="13"/>
      <c r="AQ10" s="13"/>
      <c r="AR10" s="13"/>
      <c r="AT10" s="13" t="s">
        <v>6</v>
      </c>
      <c r="AU10" s="13"/>
      <c r="AV10" s="14">
        <f>I29</f>
        <v>2630.25</v>
      </c>
      <c r="AW10" s="13"/>
      <c r="AX10" s="13"/>
      <c r="AY10" s="13"/>
    </row>
    <row r="11" spans="1:51" ht="18.75">
      <c r="A11" s="22"/>
      <c r="B11" s="2" t="s">
        <v>10</v>
      </c>
      <c r="C11" s="5">
        <v>1.7999999999999999E-2</v>
      </c>
      <c r="K11" s="13" t="s">
        <v>63</v>
      </c>
      <c r="L11" s="13"/>
      <c r="M11" s="14">
        <f>D33</f>
        <v>876.75</v>
      </c>
      <c r="N11" s="13"/>
      <c r="O11" s="13"/>
      <c r="P11" s="13"/>
      <c r="R11" s="13" t="s">
        <v>63</v>
      </c>
      <c r="S11" s="13"/>
      <c r="T11" s="14">
        <f>E33</f>
        <v>876.75</v>
      </c>
      <c r="U11" s="13"/>
      <c r="V11" s="13"/>
      <c r="W11" s="13"/>
      <c r="Y11" s="13" t="s">
        <v>63</v>
      </c>
      <c r="Z11" s="13"/>
      <c r="AA11" s="14">
        <f>F33</f>
        <v>876.75</v>
      </c>
      <c r="AB11" s="13"/>
      <c r="AC11" s="13"/>
      <c r="AD11" s="13"/>
      <c r="AF11" s="13" t="s">
        <v>63</v>
      </c>
      <c r="AG11" s="13"/>
      <c r="AH11" s="14">
        <f>G33</f>
        <v>871.5</v>
      </c>
      <c r="AI11" s="13"/>
      <c r="AJ11" s="13"/>
      <c r="AK11" s="13"/>
      <c r="AM11" s="13" t="s">
        <v>63</v>
      </c>
      <c r="AN11" s="13"/>
      <c r="AO11" s="14">
        <f>H33</f>
        <v>876.75</v>
      </c>
      <c r="AP11" s="13"/>
      <c r="AQ11" s="13"/>
      <c r="AR11" s="13"/>
      <c r="AT11" s="13" t="s">
        <v>63</v>
      </c>
      <c r="AU11" s="13"/>
      <c r="AV11" s="14">
        <f>I33</f>
        <v>871.5</v>
      </c>
      <c r="AW11" s="13"/>
      <c r="AX11" s="13"/>
      <c r="AY11" s="13"/>
    </row>
    <row r="12" spans="1:51" ht="18.75">
      <c r="A12" s="22"/>
      <c r="B12" s="2" t="s">
        <v>11</v>
      </c>
      <c r="C12" s="5">
        <v>0.05</v>
      </c>
      <c r="K12" s="13" t="s">
        <v>64</v>
      </c>
      <c r="L12" s="13"/>
      <c r="M12" s="14">
        <f>SUM(M9:M11)</f>
        <v>10601.587500000001</v>
      </c>
      <c r="N12" s="13"/>
      <c r="O12" s="13"/>
      <c r="P12" s="13"/>
      <c r="R12" s="13" t="s">
        <v>64</v>
      </c>
      <c r="S12" s="13"/>
      <c r="T12" s="14">
        <f>SUM(T9:T11)</f>
        <v>10769.325000000001</v>
      </c>
      <c r="U12" s="13"/>
      <c r="V12" s="13"/>
      <c r="W12" s="13"/>
      <c r="Y12" s="13" t="s">
        <v>64</v>
      </c>
      <c r="Z12" s="13"/>
      <c r="AA12" s="14">
        <f>SUM(AA9:AA11)</f>
        <v>10970.400000000001</v>
      </c>
      <c r="AB12" s="13"/>
      <c r="AC12" s="13"/>
      <c r="AD12" s="13"/>
      <c r="AF12" s="13" t="s">
        <v>64</v>
      </c>
      <c r="AG12" s="13"/>
      <c r="AH12" s="14">
        <f>SUM(AH9:AH11)</f>
        <v>11180.137500000001</v>
      </c>
      <c r="AI12" s="13"/>
      <c r="AJ12" s="13"/>
      <c r="AK12" s="13"/>
      <c r="AM12" s="13" t="s">
        <v>64</v>
      </c>
      <c r="AN12" s="13"/>
      <c r="AO12" s="14">
        <f>SUM(AO9:AO11)</f>
        <v>11442.112499999999</v>
      </c>
      <c r="AP12" s="13"/>
      <c r="AQ12" s="13"/>
      <c r="AR12" s="13"/>
      <c r="AT12" s="13" t="s">
        <v>64</v>
      </c>
      <c r="AU12" s="13"/>
      <c r="AV12" s="14">
        <f>SUM(AV9:AV11)</f>
        <v>11448.9375</v>
      </c>
      <c r="AW12" s="13"/>
      <c r="AX12" s="13"/>
      <c r="AY12" s="13"/>
    </row>
    <row r="13" spans="1:51" ht="18.75">
      <c r="A13" s="22"/>
      <c r="B13" s="2" t="s">
        <v>12</v>
      </c>
      <c r="C13" s="7">
        <v>3.5</v>
      </c>
      <c r="K13" s="13"/>
      <c r="L13" s="13"/>
      <c r="M13" s="13"/>
      <c r="N13" s="13"/>
      <c r="O13" s="13"/>
      <c r="P13" s="13"/>
      <c r="R13" s="13"/>
      <c r="S13" s="13"/>
      <c r="T13" s="13"/>
      <c r="U13" s="13"/>
      <c r="V13" s="13"/>
      <c r="W13" s="13"/>
      <c r="Y13" s="13"/>
      <c r="Z13" s="13"/>
      <c r="AA13" s="13"/>
      <c r="AB13" s="13"/>
      <c r="AC13" s="13"/>
      <c r="AD13" s="13"/>
      <c r="AF13" s="13"/>
      <c r="AG13" s="13"/>
      <c r="AH13" s="13"/>
      <c r="AI13" s="13"/>
      <c r="AJ13" s="13"/>
      <c r="AK13" s="13"/>
      <c r="AM13" s="13"/>
      <c r="AN13" s="13"/>
      <c r="AO13" s="13"/>
      <c r="AP13" s="13"/>
      <c r="AQ13" s="13"/>
      <c r="AR13" s="13"/>
      <c r="AT13" s="13"/>
      <c r="AU13" s="13"/>
      <c r="AV13" s="13"/>
      <c r="AW13" s="13"/>
      <c r="AX13" s="13"/>
      <c r="AY13" s="13"/>
    </row>
    <row r="14" spans="1:51" ht="18.75">
      <c r="A14" s="22"/>
      <c r="B14" s="2" t="s">
        <v>13</v>
      </c>
      <c r="C14" s="5">
        <v>0.06</v>
      </c>
      <c r="K14" s="13" t="s">
        <v>65</v>
      </c>
      <c r="L14" s="16">
        <f>D23*($C$19-D39)</f>
        <v>37037.431835695781</v>
      </c>
      <c r="M14" s="14">
        <f>M6-M12</f>
        <v>118687.5</v>
      </c>
      <c r="N14" s="13"/>
      <c r="O14" s="13"/>
      <c r="P14" s="13"/>
      <c r="R14" s="13" t="s">
        <v>65</v>
      </c>
      <c r="S14" s="16">
        <f>E23*($C$19-E39)</f>
        <v>33684.232940256996</v>
      </c>
      <c r="T14" s="14">
        <f>T6-T12</f>
        <v>162074.99999999997</v>
      </c>
      <c r="U14" s="13"/>
      <c r="V14" s="13"/>
      <c r="W14" s="13"/>
      <c r="Y14" s="13" t="s">
        <v>65</v>
      </c>
      <c r="Z14" s="16">
        <f>F23*($C$19-F39)</f>
        <v>32841.392291613731</v>
      </c>
      <c r="AA14" s="14">
        <f>AA6-AA12</f>
        <v>206474.99999999997</v>
      </c>
      <c r="AB14" s="13"/>
      <c r="AC14" s="13"/>
      <c r="AD14" s="13"/>
      <c r="AF14" s="13" t="s">
        <v>65</v>
      </c>
      <c r="AG14" s="16">
        <f>G23*($C$19-G39)</f>
        <v>31733.100423469161</v>
      </c>
      <c r="AH14" s="14">
        <f>AH6-AH12</f>
        <v>250424.99999999994</v>
      </c>
      <c r="AI14" s="13"/>
      <c r="AJ14" s="13"/>
      <c r="AK14" s="13"/>
      <c r="AM14" s="13" t="s">
        <v>65</v>
      </c>
      <c r="AN14" s="16">
        <f>H23*($C$19-H39)</f>
        <v>31072.700530318372</v>
      </c>
      <c r="AO14" s="14">
        <f>AO6-AO12</f>
        <v>293812.49999999994</v>
      </c>
      <c r="AP14" s="13"/>
      <c r="AQ14" s="13"/>
      <c r="AR14" s="13"/>
      <c r="AT14" s="13" t="s">
        <v>65</v>
      </c>
      <c r="AU14" s="16">
        <f>I23*($C$19-I39)</f>
        <v>30953.912995358642</v>
      </c>
      <c r="AV14" s="14">
        <f>AV6-AV12</f>
        <v>337499.99999999994</v>
      </c>
      <c r="AW14" s="13"/>
      <c r="AX14" s="13"/>
      <c r="AY14" s="13"/>
    </row>
    <row r="15" spans="1:51" ht="18.75">
      <c r="A15" s="22"/>
      <c r="B15" s="2" t="s">
        <v>14</v>
      </c>
      <c r="C15" s="5">
        <f>C5-(C6+C7+C8)*(C19-C5)</f>
        <v>0.51800000000000002</v>
      </c>
      <c r="K15" s="13"/>
      <c r="L15" s="13"/>
      <c r="M15" s="13"/>
      <c r="N15" s="13"/>
      <c r="O15" s="13"/>
      <c r="P15" s="13"/>
      <c r="R15" s="13"/>
      <c r="S15" s="13"/>
      <c r="T15" s="13"/>
      <c r="U15" s="13"/>
      <c r="V15" s="13"/>
      <c r="W15" s="13"/>
      <c r="Y15" s="13"/>
      <c r="Z15" s="13"/>
      <c r="AA15" s="13"/>
      <c r="AB15" s="13"/>
      <c r="AC15" s="13"/>
      <c r="AD15" s="13"/>
      <c r="AF15" s="13"/>
      <c r="AG15" s="13"/>
      <c r="AH15" s="13"/>
      <c r="AI15" s="13"/>
      <c r="AJ15" s="13"/>
      <c r="AK15" s="13"/>
      <c r="AM15" s="13"/>
      <c r="AN15" s="13"/>
      <c r="AO15" s="13"/>
      <c r="AP15" s="13"/>
      <c r="AQ15" s="13"/>
      <c r="AR15" s="13"/>
      <c r="AT15" s="13"/>
      <c r="AU15" s="13"/>
      <c r="AV15" s="13"/>
      <c r="AW15" s="13"/>
      <c r="AX15" s="13"/>
      <c r="AY15" s="13"/>
    </row>
    <row r="16" spans="1:51" ht="18.75">
      <c r="A16" s="22"/>
      <c r="B16" s="2" t="s">
        <v>15</v>
      </c>
      <c r="C16" s="6">
        <f>C47/(C41*(C19-C5))</f>
        <v>4.0619989414435516</v>
      </c>
      <c r="K16" s="13" t="s">
        <v>66</v>
      </c>
      <c r="L16" s="14">
        <f>D59-D57</f>
        <v>25619.235032221222</v>
      </c>
      <c r="M16" s="13"/>
      <c r="N16" s="13"/>
      <c r="O16" s="13"/>
      <c r="P16" s="13"/>
      <c r="R16" s="13" t="s">
        <v>66</v>
      </c>
      <c r="S16" s="14">
        <f>E59-E57</f>
        <v>25436.044090171425</v>
      </c>
      <c r="T16" s="13"/>
      <c r="U16" s="13"/>
      <c r="V16" s="13"/>
      <c r="W16" s="13"/>
      <c r="Y16" s="13" t="s">
        <v>66</v>
      </c>
      <c r="Z16" s="14">
        <f>F59-F57</f>
        <v>23420.530008579415</v>
      </c>
      <c r="AA16" s="13"/>
      <c r="AB16" s="13"/>
      <c r="AC16" s="13"/>
      <c r="AD16" s="13"/>
      <c r="AF16" s="13" t="s">
        <v>66</v>
      </c>
      <c r="AG16" s="14">
        <f>G59-G57</f>
        <v>23588.012420020063</v>
      </c>
      <c r="AH16" s="13"/>
      <c r="AI16" s="13"/>
      <c r="AJ16" s="13"/>
      <c r="AK16" s="13"/>
      <c r="AM16" s="13" t="s">
        <v>66</v>
      </c>
      <c r="AN16" s="14">
        <f>H59-H57</f>
        <v>23017.579157715834</v>
      </c>
      <c r="AO16" s="13"/>
      <c r="AP16" s="13"/>
      <c r="AQ16" s="13"/>
      <c r="AR16" s="13"/>
      <c r="AT16" s="13" t="s">
        <v>66</v>
      </c>
      <c r="AU16" s="14">
        <f>I59-I57</f>
        <v>22601.076958343601</v>
      </c>
      <c r="AV16" s="13"/>
      <c r="AW16" s="13"/>
      <c r="AX16" s="13"/>
      <c r="AY16" s="13"/>
    </row>
    <row r="17" spans="1:51" ht="18.75">
      <c r="A17" s="22" t="s">
        <v>1</v>
      </c>
      <c r="B17" s="3"/>
      <c r="C17" s="4" t="s">
        <v>47</v>
      </c>
      <c r="D17" s="3" t="s">
        <v>48</v>
      </c>
      <c r="E17" s="3" t="s">
        <v>49</v>
      </c>
      <c r="F17" s="3" t="s">
        <v>50</v>
      </c>
      <c r="G17" s="3" t="s">
        <v>51</v>
      </c>
      <c r="H17" s="3" t="s">
        <v>52</v>
      </c>
      <c r="I17" s="3" t="s">
        <v>53</v>
      </c>
      <c r="K17" s="13"/>
      <c r="L17" s="13"/>
      <c r="M17" s="13"/>
      <c r="N17" s="13"/>
      <c r="O17" s="13"/>
      <c r="P17" s="13"/>
      <c r="R17" s="13"/>
      <c r="S17" s="13"/>
      <c r="T17" s="13"/>
      <c r="U17" s="13"/>
      <c r="V17" s="13"/>
      <c r="W17" s="13"/>
      <c r="Y17" s="13"/>
      <c r="Z17" s="13"/>
      <c r="AA17" s="13"/>
      <c r="AB17" s="13"/>
      <c r="AC17" s="13"/>
      <c r="AD17" s="13"/>
      <c r="AF17" s="13"/>
      <c r="AG17" s="13"/>
      <c r="AH17" s="13"/>
      <c r="AI17" s="13"/>
      <c r="AJ17" s="13"/>
      <c r="AK17" s="13"/>
      <c r="AM17" s="13"/>
      <c r="AN17" s="13"/>
      <c r="AO17" s="13"/>
      <c r="AP17" s="13"/>
      <c r="AQ17" s="13"/>
      <c r="AR17" s="13"/>
      <c r="AT17" s="13"/>
      <c r="AU17" s="13"/>
      <c r="AV17" s="13"/>
      <c r="AW17" s="13"/>
      <c r="AX17" s="13"/>
      <c r="AY17" s="13"/>
    </row>
    <row r="18" spans="1:51" ht="18.75">
      <c r="A18" s="22"/>
      <c r="B18" s="2" t="s">
        <v>16</v>
      </c>
      <c r="C18" s="6">
        <f>D4+(D4*C4)</f>
        <v>262500</v>
      </c>
      <c r="D18" s="6">
        <f>D19*$C$18</f>
        <v>42262.5</v>
      </c>
      <c r="E18" s="6">
        <f t="shared" ref="E18:I18" si="0">E19*$C$18</f>
        <v>45412.5</v>
      </c>
      <c r="F18" s="6">
        <f t="shared" si="0"/>
        <v>43050</v>
      </c>
      <c r="G18" s="6">
        <f t="shared" si="0"/>
        <v>44625</v>
      </c>
      <c r="H18" s="6">
        <f t="shared" si="0"/>
        <v>43837.5</v>
      </c>
      <c r="I18" s="6">
        <f t="shared" si="0"/>
        <v>43312.5</v>
      </c>
      <c r="K18" s="13" t="s">
        <v>67</v>
      </c>
      <c r="L18" s="13"/>
      <c r="M18" s="13"/>
      <c r="N18" s="18">
        <f>(N3-(M12/M8))*(1-N3)</f>
        <v>0.1120880403706178</v>
      </c>
      <c r="O18" s="18">
        <f>(M8-L22)/M8</f>
        <v>0.73407938327258337</v>
      </c>
      <c r="P18" s="13"/>
      <c r="R18" s="13" t="s">
        <v>67</v>
      </c>
      <c r="S18" s="13"/>
      <c r="T18" s="13"/>
      <c r="U18" s="15">
        <f>(U3-(T12/T8))*(1-U3)</f>
        <v>0.14067501961268103</v>
      </c>
      <c r="V18" s="15">
        <f>(T8-S22)/T8</f>
        <v>0.69535576449992709</v>
      </c>
      <c r="W18" s="13"/>
      <c r="Y18" s="13" t="s">
        <v>67</v>
      </c>
      <c r="Z18" s="13"/>
      <c r="AA18" s="13"/>
      <c r="AB18" s="15">
        <f>(AB3-(AA12/AA8))*(1-AB3)</f>
        <v>0.11167590179175411</v>
      </c>
      <c r="AC18" s="15">
        <f>(AA8-Z22)/AA8</f>
        <v>0.69438264629728619</v>
      </c>
      <c r="AD18" s="13"/>
      <c r="AF18" s="13" t="s">
        <v>67</v>
      </c>
      <c r="AG18" s="13"/>
      <c r="AH18" s="13"/>
      <c r="AI18" s="15">
        <f>(AI3-(AH12/AH8))*(1-AI3)</f>
        <v>9.3908683660430606E-2</v>
      </c>
      <c r="AJ18" s="15">
        <f>(AH8-AG22)/AH8</f>
        <v>0.67877574121173334</v>
      </c>
      <c r="AK18" s="13"/>
      <c r="AM18" s="13" t="s">
        <v>67</v>
      </c>
      <c r="AN18" s="13"/>
      <c r="AO18" s="13"/>
      <c r="AP18" s="15">
        <f>(AP3-(AO12/AO8))*(1-AP3)</f>
        <v>7.7585139001813561E-2</v>
      </c>
      <c r="AQ18" s="15">
        <f>(AO8-AN22)/AO8</f>
        <v>0.67374832296635268</v>
      </c>
      <c r="AR18" s="13"/>
      <c r="AT18" s="13" t="s">
        <v>67</v>
      </c>
      <c r="AU18" s="13"/>
      <c r="AV18" s="13"/>
      <c r="AW18" s="15">
        <f>(AW3-(AV12/AV8))*(1-AW3)</f>
        <v>6.6617306609088323E-2</v>
      </c>
      <c r="AX18" s="15">
        <f>(AV8-AU22)/AV8</f>
        <v>0.67377885399437032</v>
      </c>
      <c r="AY18" s="13"/>
    </row>
    <row r="19" spans="1:51" ht="18.75">
      <c r="A19" s="22"/>
      <c r="B19" s="2" t="s">
        <v>17</v>
      </c>
      <c r="C19" s="5">
        <f>SUM(D19:I19)</f>
        <v>1</v>
      </c>
      <c r="D19" s="5">
        <v>0.161</v>
      </c>
      <c r="E19" s="5">
        <v>0.17299999999999999</v>
      </c>
      <c r="F19" s="5">
        <v>0.16400000000000001</v>
      </c>
      <c r="G19" s="5">
        <v>0.17</v>
      </c>
      <c r="H19" s="5">
        <v>0.16700000000000001</v>
      </c>
      <c r="I19" s="5">
        <v>0.16500000000000001</v>
      </c>
      <c r="K19" s="13"/>
      <c r="L19" s="13"/>
      <c r="M19" s="13"/>
      <c r="N19" s="13"/>
      <c r="O19" s="13"/>
      <c r="P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F19" s="13"/>
      <c r="AG19" s="13"/>
      <c r="AH19" s="13"/>
      <c r="AI19" s="13"/>
      <c r="AJ19" s="13"/>
      <c r="AK19" s="13"/>
      <c r="AM19" s="13"/>
      <c r="AN19" s="13"/>
      <c r="AO19" s="13"/>
      <c r="AP19" s="13"/>
      <c r="AQ19" s="13"/>
      <c r="AR19" s="13"/>
      <c r="AT19" s="13"/>
      <c r="AU19" s="13"/>
      <c r="AV19" s="13"/>
      <c r="AW19" s="13"/>
      <c r="AX19" s="13"/>
      <c r="AY19" s="13"/>
    </row>
    <row r="20" spans="1:51" ht="18.75">
      <c r="A20" s="22"/>
      <c r="B20" s="11"/>
      <c r="D20" s="9"/>
      <c r="K20" s="13" t="s">
        <v>11</v>
      </c>
      <c r="L20" s="14">
        <f>-$C$12*L4</f>
        <v>-1068.7107013168397</v>
      </c>
      <c r="M20" s="13"/>
      <c r="N20" s="13"/>
      <c r="O20" s="18">
        <f>D29/D18</f>
        <v>5.9254658385093167E-2</v>
      </c>
      <c r="P20" s="13"/>
      <c r="R20" s="13" t="s">
        <v>11</v>
      </c>
      <c r="S20" s="14">
        <f>-$C$12*S4</f>
        <v>-1041.6436412609735</v>
      </c>
      <c r="T20" s="13"/>
      <c r="U20" s="13"/>
      <c r="V20" s="18">
        <f>E29/E18</f>
        <v>5.5838150289017341E-2</v>
      </c>
      <c r="W20" s="13"/>
      <c r="Y20" s="13" t="s">
        <v>11</v>
      </c>
      <c r="Z20" s="14">
        <f>-$C$12*Z4</f>
        <v>-1064.9853471667996</v>
      </c>
      <c r="AA20" s="13"/>
      <c r="AB20" s="13"/>
      <c r="AC20" s="18">
        <f>F29/F18</f>
        <v>6.1463414634146341E-2</v>
      </c>
      <c r="AD20" s="13"/>
      <c r="AF20" s="13" t="s">
        <v>11</v>
      </c>
      <c r="AG20" s="14">
        <f>-$C$12*AG4</f>
        <v>-1060.3641769752592</v>
      </c>
      <c r="AH20" s="13"/>
      <c r="AI20" s="13"/>
      <c r="AJ20" s="18">
        <f>G29/G18</f>
        <v>6.1058823529411763E-2</v>
      </c>
      <c r="AK20" s="13"/>
      <c r="AM20" s="13" t="s">
        <v>11</v>
      </c>
      <c r="AN20" s="14">
        <f>-$C$12*AN4</f>
        <v>-1054.5839275738233</v>
      </c>
      <c r="AO20" s="13"/>
      <c r="AP20" s="13"/>
      <c r="AQ20" s="18">
        <f>H29/H18</f>
        <v>6.1796407185628739E-2</v>
      </c>
      <c r="AR20" s="13"/>
      <c r="AT20" s="13" t="s">
        <v>11</v>
      </c>
      <c r="AU20" s="14">
        <f>-$C$12*AU4</f>
        <v>-1060.4853501596169</v>
      </c>
      <c r="AV20" s="13"/>
      <c r="AW20" s="13"/>
      <c r="AX20" s="18">
        <f>I29/I18</f>
        <v>6.0727272727272727E-2</v>
      </c>
      <c r="AY20" s="13"/>
    </row>
    <row r="21" spans="1:51" ht="18.75">
      <c r="A21" s="22"/>
      <c r="B21" s="2" t="s">
        <v>18</v>
      </c>
      <c r="C21" s="6">
        <f>D21</f>
        <v>73725</v>
      </c>
      <c r="D21" s="10">
        <f t="shared" ref="D21:I21" si="1">($C$18/$C$13)*0.5*(1+(D18/43750))</f>
        <v>73725</v>
      </c>
      <c r="E21" s="10">
        <f t="shared" si="1"/>
        <v>76425.000000000015</v>
      </c>
      <c r="F21" s="10">
        <f t="shared" si="1"/>
        <v>74400</v>
      </c>
      <c r="G21" s="10">
        <f t="shared" si="1"/>
        <v>75750</v>
      </c>
      <c r="H21" s="10">
        <f t="shared" si="1"/>
        <v>75074.999999999985</v>
      </c>
      <c r="I21" s="10">
        <f t="shared" si="1"/>
        <v>74625</v>
      </c>
      <c r="K21" s="13"/>
      <c r="L21" s="13"/>
      <c r="M21" s="13"/>
      <c r="N21" s="13"/>
      <c r="O21" s="21"/>
      <c r="P21" s="13"/>
      <c r="R21" s="13"/>
      <c r="S21" s="13"/>
      <c r="T21" s="13"/>
      <c r="U21" s="13"/>
      <c r="V21" s="21"/>
      <c r="W21" s="13"/>
      <c r="Y21" s="13"/>
      <c r="Z21" s="13"/>
      <c r="AA21" s="13"/>
      <c r="AB21" s="13"/>
      <c r="AC21" s="21"/>
      <c r="AD21" s="13"/>
      <c r="AF21" s="13"/>
      <c r="AG21" s="13"/>
      <c r="AH21" s="13"/>
      <c r="AI21" s="13"/>
      <c r="AJ21" s="21"/>
      <c r="AK21" s="13"/>
      <c r="AM21" s="13"/>
      <c r="AN21" s="13"/>
      <c r="AO21" s="13"/>
      <c r="AP21" s="13"/>
      <c r="AQ21" s="21"/>
      <c r="AR21" s="13"/>
      <c r="AT21" s="13"/>
      <c r="AU21" s="13"/>
      <c r="AV21" s="13"/>
      <c r="AW21" s="13"/>
      <c r="AX21" s="21"/>
      <c r="AY21" s="13"/>
    </row>
    <row r="22" spans="1:51" ht="18.75">
      <c r="A22" s="22"/>
      <c r="B22" s="2" t="s">
        <v>19</v>
      </c>
      <c r="C22" s="8"/>
      <c r="D22" s="12">
        <f>D21/D18</f>
        <v>1.7444543034605147</v>
      </c>
      <c r="E22" s="12">
        <f t="shared" ref="E22:I22" si="2">E21/E18</f>
        <v>1.6829066886870359</v>
      </c>
      <c r="F22" s="12">
        <f t="shared" si="2"/>
        <v>1.7282229965156795</v>
      </c>
      <c r="G22" s="12">
        <f t="shared" si="2"/>
        <v>1.6974789915966386</v>
      </c>
      <c r="H22" s="12">
        <f t="shared" si="2"/>
        <v>1.7125748502994009</v>
      </c>
      <c r="I22" s="12">
        <f t="shared" si="2"/>
        <v>1.722943722943723</v>
      </c>
      <c r="K22" s="13" t="s">
        <v>68</v>
      </c>
      <c r="L22" s="16">
        <f>L16+L4+L5-L14</f>
        <v>11238.470064442445</v>
      </c>
      <c r="M22" s="13"/>
      <c r="N22" s="13"/>
      <c r="O22" s="21"/>
      <c r="P22" s="13"/>
      <c r="R22" s="13" t="s">
        <v>68</v>
      </c>
      <c r="S22" s="16">
        <f>S16+S4+S5-S14</f>
        <v>13834.656344647061</v>
      </c>
      <c r="T22" s="13"/>
      <c r="U22" s="13"/>
      <c r="V22" s="21"/>
      <c r="W22" s="13"/>
      <c r="Y22" s="13" t="s">
        <v>68</v>
      </c>
      <c r="Z22" s="16">
        <f>Z16+Z4+Z5-Z14</f>
        <v>13156.827076901827</v>
      </c>
      <c r="AA22" s="13"/>
      <c r="AB22" s="13"/>
      <c r="AC22" s="21"/>
      <c r="AD22" s="13"/>
      <c r="AF22" s="13" t="s">
        <v>68</v>
      </c>
      <c r="AG22" s="16">
        <f>AG16+AG4+AG5-AG14</f>
        <v>14334.632548426398</v>
      </c>
      <c r="AH22" s="13"/>
      <c r="AI22" s="13"/>
      <c r="AJ22" s="21"/>
      <c r="AK22" s="13"/>
      <c r="AM22" s="13" t="s">
        <v>68</v>
      </c>
      <c r="AN22" s="16">
        <f>AN16+AN4+AN5-AN14</f>
        <v>14302.057891962515</v>
      </c>
      <c r="AO22" s="13"/>
      <c r="AP22" s="13"/>
      <c r="AQ22" s="21"/>
      <c r="AR22" s="13"/>
      <c r="AT22" s="13" t="s">
        <v>68</v>
      </c>
      <c r="AU22" s="16">
        <f>AU16+AU4+AU5-AU14</f>
        <v>14129.453386368838</v>
      </c>
      <c r="AV22" s="13"/>
      <c r="AW22" s="13"/>
      <c r="AX22" s="21"/>
      <c r="AY22" s="13"/>
    </row>
    <row r="23" spans="1:51" ht="18.75">
      <c r="A23" s="22"/>
      <c r="B23" s="2" t="s">
        <v>20</v>
      </c>
      <c r="C23" s="10">
        <f>I23</f>
        <v>75000</v>
      </c>
      <c r="D23" s="10">
        <f>($C$18/$C$13)*0.5*(1+(E18/43750))</f>
        <v>76425.000000000015</v>
      </c>
      <c r="E23" s="10">
        <f>($C$18/$C$13)*0.5*(1+(F18/43750))</f>
        <v>74400</v>
      </c>
      <c r="F23" s="10">
        <f>($C$18/$C$13)*0.5*(1+(G18/43750))</f>
        <v>75750</v>
      </c>
      <c r="G23" s="10">
        <f>($C$18/$C$13)*0.5*(1+(H18/43750))</f>
        <v>75074.999999999985</v>
      </c>
      <c r="H23" s="10">
        <f>($C$18/$C$13)*0.5*(1+(I18/43750))</f>
        <v>74625</v>
      </c>
      <c r="I23" s="10">
        <f>AVERAGE(D21:I21)</f>
        <v>75000</v>
      </c>
      <c r="K23" s="13"/>
      <c r="L23" s="13"/>
      <c r="M23" s="13"/>
      <c r="N23" s="13"/>
      <c r="O23" s="21"/>
      <c r="P23" s="13"/>
      <c r="R23" s="13"/>
      <c r="S23" s="13"/>
      <c r="T23" s="13"/>
      <c r="U23" s="13"/>
      <c r="V23" s="21"/>
      <c r="W23" s="13"/>
      <c r="Y23" s="13"/>
      <c r="Z23" s="13"/>
      <c r="AA23" s="13"/>
      <c r="AB23" s="13"/>
      <c r="AC23" s="21"/>
      <c r="AD23" s="13"/>
      <c r="AF23" s="13"/>
      <c r="AG23" s="13"/>
      <c r="AH23" s="13"/>
      <c r="AI23" s="13"/>
      <c r="AJ23" s="21"/>
      <c r="AK23" s="13"/>
      <c r="AM23" s="13"/>
      <c r="AN23" s="13"/>
      <c r="AO23" s="13"/>
      <c r="AP23" s="13"/>
      <c r="AQ23" s="21"/>
      <c r="AR23" s="13"/>
      <c r="AT23" s="13"/>
      <c r="AU23" s="13"/>
      <c r="AV23" s="13"/>
      <c r="AW23" s="13"/>
      <c r="AX23" s="21"/>
      <c r="AY23" s="13"/>
    </row>
    <row r="24" spans="1:51" ht="18.75">
      <c r="A24" s="22"/>
      <c r="B24" s="2"/>
      <c r="K24" s="13" t="s">
        <v>69</v>
      </c>
      <c r="L24" s="14">
        <f>$C$11*M8</f>
        <v>760.72499999999991</v>
      </c>
      <c r="M24" s="13"/>
      <c r="N24" s="13"/>
      <c r="O24" s="20">
        <f>-L24/M8</f>
        <v>-1.7999999999999999E-2</v>
      </c>
      <c r="P24" s="13"/>
      <c r="R24" s="13" t="s">
        <v>69</v>
      </c>
      <c r="S24" s="14">
        <f>$C$11*T8</f>
        <v>817.42499999999995</v>
      </c>
      <c r="T24" s="13"/>
      <c r="U24" s="13"/>
      <c r="V24" s="20">
        <f>-S24/T8</f>
        <v>-1.7999999999999999E-2</v>
      </c>
      <c r="W24" s="13"/>
      <c r="Y24" s="13" t="s">
        <v>69</v>
      </c>
      <c r="Z24" s="14">
        <f>$C$11*AA8</f>
        <v>774.9</v>
      </c>
      <c r="AA24" s="13"/>
      <c r="AB24" s="13"/>
      <c r="AC24" s="20">
        <f>-Z24/AA8</f>
        <v>-1.7999999999999999E-2</v>
      </c>
      <c r="AD24" s="13"/>
      <c r="AF24" s="13" t="s">
        <v>69</v>
      </c>
      <c r="AG24" s="14">
        <f>$C$11*AH8</f>
        <v>803.24999999999989</v>
      </c>
      <c r="AH24" s="13"/>
      <c r="AI24" s="13"/>
      <c r="AJ24" s="20">
        <f>-AG24/AH8</f>
        <v>-1.7999999999999999E-2</v>
      </c>
      <c r="AK24" s="13"/>
      <c r="AM24" s="13" t="s">
        <v>69</v>
      </c>
      <c r="AN24" s="14">
        <f>$C$11*AO8</f>
        <v>789.07499999999993</v>
      </c>
      <c r="AO24" s="13"/>
      <c r="AP24" s="13"/>
      <c r="AQ24" s="20">
        <f>-AN24/AO8</f>
        <v>-1.7999999999999999E-2</v>
      </c>
      <c r="AR24" s="13"/>
      <c r="AT24" s="13" t="s">
        <v>69</v>
      </c>
      <c r="AU24" s="14">
        <f>$C$11*AV8</f>
        <v>779.62499999999989</v>
      </c>
      <c r="AV24" s="13"/>
      <c r="AW24" s="13"/>
      <c r="AX24" s="20">
        <f>-AU24/AV8</f>
        <v>-1.7999999999999999E-2</v>
      </c>
      <c r="AY24" s="13"/>
    </row>
    <row r="25" spans="1:51" ht="18.75">
      <c r="A25" s="22"/>
      <c r="B25" s="2" t="s">
        <v>21</v>
      </c>
      <c r="C25" s="6">
        <f>C6*C18</f>
        <v>45412.5</v>
      </c>
      <c r="D25" s="6">
        <f>$C$25*D27</f>
        <v>7220.5875000000005</v>
      </c>
      <c r="E25" s="6">
        <f t="shared" ref="E25:I25" si="3">$C$25*E27</f>
        <v>7356.8249999999998</v>
      </c>
      <c r="F25" s="6">
        <f t="shared" si="3"/>
        <v>7447.6500000000005</v>
      </c>
      <c r="G25" s="6">
        <f t="shared" si="3"/>
        <v>7583.8875000000007</v>
      </c>
      <c r="H25" s="6">
        <f t="shared" si="3"/>
        <v>7856.3624999999993</v>
      </c>
      <c r="I25" s="6">
        <f t="shared" si="3"/>
        <v>7947.1874999999991</v>
      </c>
      <c r="K25" s="13"/>
      <c r="L25" s="13"/>
      <c r="M25" s="13"/>
      <c r="N25" s="13"/>
      <c r="O25" s="13"/>
      <c r="P25" s="13"/>
      <c r="R25" s="13"/>
      <c r="S25" s="13"/>
      <c r="T25" s="13"/>
      <c r="U25" s="13"/>
      <c r="V25" s="13"/>
      <c r="W25" s="13"/>
      <c r="Y25" s="13"/>
      <c r="Z25" s="13"/>
      <c r="AA25" s="13"/>
      <c r="AB25" s="13"/>
      <c r="AC25" s="13"/>
      <c r="AD25" s="13"/>
      <c r="AF25" s="13"/>
      <c r="AG25" s="13"/>
      <c r="AH25" s="13"/>
      <c r="AI25" s="13"/>
      <c r="AJ25" s="13"/>
      <c r="AK25" s="13"/>
      <c r="AM25" s="13"/>
      <c r="AN25" s="13"/>
      <c r="AO25" s="13"/>
      <c r="AP25" s="13"/>
      <c r="AQ25" s="13"/>
      <c r="AR25" s="13"/>
      <c r="AT25" s="13"/>
      <c r="AU25" s="13"/>
      <c r="AV25" s="13"/>
      <c r="AW25" s="13"/>
      <c r="AX25" s="13"/>
      <c r="AY25" s="13"/>
    </row>
    <row r="26" spans="1:51" ht="18.75">
      <c r="A26" s="22"/>
      <c r="B26" s="2" t="s">
        <v>22</v>
      </c>
      <c r="C26" s="5">
        <f>C25/C18</f>
        <v>0.17299999999999999</v>
      </c>
      <c r="D26" s="5">
        <f t="shared" ref="D26:I26" si="4">D25/D18</f>
        <v>0.17085093167701865</v>
      </c>
      <c r="E26" s="5">
        <f t="shared" si="4"/>
        <v>0.16200000000000001</v>
      </c>
      <c r="F26" s="5">
        <f t="shared" si="4"/>
        <v>0.17300000000000001</v>
      </c>
      <c r="G26" s="5">
        <f t="shared" si="4"/>
        <v>0.16994705882352942</v>
      </c>
      <c r="H26" s="5">
        <f t="shared" si="4"/>
        <v>0.17921556886227544</v>
      </c>
      <c r="I26" s="5">
        <f t="shared" si="4"/>
        <v>0.18348484848484847</v>
      </c>
      <c r="K26" s="13" t="s">
        <v>70</v>
      </c>
      <c r="L26" s="16">
        <f>L16+L24-L20</f>
        <v>27448.67073353806</v>
      </c>
      <c r="M26" s="13"/>
      <c r="N26" s="13"/>
      <c r="O26" s="13"/>
      <c r="P26" s="13"/>
      <c r="R26" s="13" t="s">
        <v>70</v>
      </c>
      <c r="S26" s="16">
        <f>S16+S24-S20</f>
        <v>27295.112731432397</v>
      </c>
      <c r="T26" s="13"/>
      <c r="U26" s="13"/>
      <c r="V26" s="13"/>
      <c r="W26" s="13"/>
      <c r="Y26" s="13" t="s">
        <v>70</v>
      </c>
      <c r="Z26" s="16">
        <f>Z16+Z24-Z20</f>
        <v>25260.415355746216</v>
      </c>
      <c r="AA26" s="13"/>
      <c r="AB26" s="13"/>
      <c r="AC26" s="13"/>
      <c r="AD26" s="13"/>
      <c r="AF26" s="13" t="s">
        <v>70</v>
      </c>
      <c r="AG26" s="16">
        <f>AG16+AG24-AG20</f>
        <v>25451.62659699532</v>
      </c>
      <c r="AH26" s="13"/>
      <c r="AI26" s="13"/>
      <c r="AJ26" s="13"/>
      <c r="AK26" s="13"/>
      <c r="AM26" s="13" t="s">
        <v>70</v>
      </c>
      <c r="AN26" s="16">
        <f>AN16+AN24-AN20</f>
        <v>24861.238085289657</v>
      </c>
      <c r="AO26" s="13"/>
      <c r="AP26" s="13"/>
      <c r="AQ26" s="13"/>
      <c r="AR26" s="13"/>
      <c r="AT26" s="13" t="s">
        <v>70</v>
      </c>
      <c r="AU26" s="16">
        <f>AU16+AU24-AU20</f>
        <v>24441.187308503217</v>
      </c>
      <c r="AV26" s="13"/>
      <c r="AW26" s="13"/>
      <c r="AX26" s="13"/>
      <c r="AY26" s="13"/>
    </row>
    <row r="27" spans="1:51" ht="18.75">
      <c r="A27" s="22"/>
      <c r="B27" s="2" t="s">
        <v>23</v>
      </c>
      <c r="C27" s="5">
        <f>SUM(D27:I27)</f>
        <v>1</v>
      </c>
      <c r="D27" s="5">
        <v>0.159</v>
      </c>
      <c r="E27" s="5">
        <v>0.16200000000000001</v>
      </c>
      <c r="F27" s="5">
        <v>0.16400000000000001</v>
      </c>
      <c r="G27" s="5">
        <v>0.16700000000000001</v>
      </c>
      <c r="H27" s="5">
        <v>0.17299999999999999</v>
      </c>
      <c r="I27" s="5">
        <v>0.17499999999999999</v>
      </c>
      <c r="K27" s="13"/>
      <c r="L27" s="13"/>
      <c r="M27" s="13"/>
      <c r="N27" s="13"/>
      <c r="O27" s="13"/>
      <c r="P27" s="13"/>
      <c r="R27" s="13"/>
      <c r="S27" s="13"/>
      <c r="T27" s="13"/>
      <c r="U27" s="13"/>
      <c r="V27" s="13"/>
      <c r="W27" s="13"/>
      <c r="Y27" s="13"/>
      <c r="Z27" s="13"/>
      <c r="AA27" s="13"/>
      <c r="AB27" s="13"/>
      <c r="AC27" s="13"/>
      <c r="AD27" s="13"/>
      <c r="AF27" s="13"/>
      <c r="AG27" s="13"/>
      <c r="AH27" s="13"/>
      <c r="AI27" s="13"/>
      <c r="AJ27" s="13"/>
      <c r="AK27" s="13"/>
      <c r="AM27" s="13"/>
      <c r="AN27" s="13"/>
      <c r="AO27" s="13"/>
      <c r="AP27" s="13"/>
      <c r="AQ27" s="13"/>
      <c r="AR27" s="13"/>
      <c r="AT27" s="13"/>
      <c r="AU27" s="13"/>
      <c r="AV27" s="13"/>
      <c r="AW27" s="13"/>
      <c r="AX27" s="13"/>
      <c r="AY27" s="13"/>
    </row>
    <row r="28" spans="1:51" ht="18.75">
      <c r="A28" s="22"/>
      <c r="B28" s="2"/>
      <c r="K28" s="13" t="s">
        <v>71</v>
      </c>
      <c r="L28" s="13"/>
      <c r="M28" s="13"/>
      <c r="N28" s="16">
        <f>M8-L26</f>
        <v>14813.82926646194</v>
      </c>
      <c r="O28" s="18">
        <f>N28/M8</f>
        <v>0.35051947391805832</v>
      </c>
      <c r="P28" s="13"/>
      <c r="R28" s="13" t="s">
        <v>71</v>
      </c>
      <c r="S28" s="13"/>
      <c r="T28" s="13"/>
      <c r="U28" s="16">
        <f>T8-S26</f>
        <v>18117.387268567603</v>
      </c>
      <c r="V28" s="18">
        <f>U28/T8</f>
        <v>0.39895155009232269</v>
      </c>
      <c r="W28" s="13"/>
      <c r="Y28" s="13" t="s">
        <v>71</v>
      </c>
      <c r="Z28" s="13"/>
      <c r="AA28" s="13"/>
      <c r="AB28" s="16">
        <f>AA8-Z26</f>
        <v>17789.584644253784</v>
      </c>
      <c r="AC28" s="18">
        <f>AB28/AA8</f>
        <v>0.41323076990136548</v>
      </c>
      <c r="AD28" s="13"/>
      <c r="AF28" s="13" t="s">
        <v>71</v>
      </c>
      <c r="AG28" s="13"/>
      <c r="AH28" s="13"/>
      <c r="AI28" s="16">
        <f>AH8-AG26</f>
        <v>19173.37340300468</v>
      </c>
      <c r="AJ28" s="18">
        <f>AI28/AH8</f>
        <v>0.42965542639786397</v>
      </c>
      <c r="AK28" s="13"/>
      <c r="AM28" s="13" t="s">
        <v>71</v>
      </c>
      <c r="AN28" s="13"/>
      <c r="AO28" s="13"/>
      <c r="AP28" s="16">
        <f>AO8-AN26</f>
        <v>18976.261914710343</v>
      </c>
      <c r="AQ28" s="18">
        <f>AP28/AO8</f>
        <v>0.43287737472963428</v>
      </c>
      <c r="AR28" s="13"/>
      <c r="AT28" s="13" t="s">
        <v>71</v>
      </c>
      <c r="AU28" s="13"/>
      <c r="AV28" s="13"/>
      <c r="AW28" s="16">
        <f>AV8-AU26</f>
        <v>18871.312691496783</v>
      </c>
      <c r="AX28" s="18">
        <f>AW28/AV8</f>
        <v>0.43570130312258087</v>
      </c>
      <c r="AY28" s="13"/>
    </row>
    <row r="29" spans="1:51" ht="18.75">
      <c r="A29" s="22"/>
      <c r="B29" s="2" t="s">
        <v>24</v>
      </c>
      <c r="C29" s="6">
        <f>C18*C7</f>
        <v>15750</v>
      </c>
      <c r="D29" s="6">
        <f>D31*$C$29</f>
        <v>2504.25</v>
      </c>
      <c r="E29" s="6">
        <f t="shared" ref="E29:I29" si="5">E31*$C$29</f>
        <v>2535.75</v>
      </c>
      <c r="F29" s="6">
        <f t="shared" si="5"/>
        <v>2646</v>
      </c>
      <c r="G29" s="6">
        <f t="shared" si="5"/>
        <v>2724.75</v>
      </c>
      <c r="H29" s="6">
        <f t="shared" si="5"/>
        <v>2709</v>
      </c>
      <c r="I29" s="6">
        <f t="shared" si="5"/>
        <v>2630.25</v>
      </c>
      <c r="K29" s="13"/>
      <c r="L29" s="13"/>
      <c r="M29" s="13"/>
      <c r="N29" s="13"/>
      <c r="O29" s="13"/>
      <c r="P29" s="13"/>
      <c r="R29" s="13"/>
      <c r="S29" s="13"/>
      <c r="T29" s="13"/>
      <c r="U29" s="13"/>
      <c r="V29" s="13"/>
      <c r="W29" s="13"/>
      <c r="Y29" s="13"/>
      <c r="Z29" s="13"/>
      <c r="AA29" s="13"/>
      <c r="AB29" s="13"/>
      <c r="AC29" s="13"/>
      <c r="AD29" s="13"/>
      <c r="AF29" s="13"/>
      <c r="AG29" s="13"/>
      <c r="AH29" s="13"/>
      <c r="AI29" s="13"/>
      <c r="AJ29" s="13"/>
      <c r="AK29" s="13"/>
      <c r="AM29" s="13"/>
      <c r="AN29" s="13"/>
      <c r="AO29" s="13"/>
      <c r="AP29" s="13"/>
      <c r="AQ29" s="13"/>
      <c r="AR29" s="13"/>
      <c r="AT29" s="13"/>
      <c r="AU29" s="13"/>
      <c r="AV29" s="13"/>
      <c r="AW29" s="13"/>
      <c r="AX29" s="13"/>
      <c r="AY29" s="13"/>
    </row>
    <row r="30" spans="1:51" ht="18.75">
      <c r="A30" s="22"/>
      <c r="B30" s="2" t="s">
        <v>25</v>
      </c>
      <c r="C30" s="5">
        <f>C29/C18</f>
        <v>0.06</v>
      </c>
      <c r="D30" s="5">
        <f>D29/D18</f>
        <v>5.9254658385093167E-2</v>
      </c>
      <c r="E30" s="5">
        <f t="shared" ref="E30:I30" si="6">E29/E18</f>
        <v>5.5838150289017341E-2</v>
      </c>
      <c r="F30" s="5">
        <f t="shared" si="6"/>
        <v>6.1463414634146341E-2</v>
      </c>
      <c r="G30" s="5">
        <f t="shared" si="6"/>
        <v>6.1058823529411763E-2</v>
      </c>
      <c r="H30" s="5">
        <f t="shared" si="6"/>
        <v>6.1796407185628739E-2</v>
      </c>
      <c r="I30" s="5">
        <f t="shared" si="6"/>
        <v>6.0727272727272727E-2</v>
      </c>
      <c r="K30" s="13" t="s">
        <v>72</v>
      </c>
      <c r="L30" s="13"/>
      <c r="M30" s="13"/>
      <c r="N30" s="17">
        <f>O30*M8</f>
        <v>19609.8</v>
      </c>
      <c r="O30" s="18">
        <f>$C$9</f>
        <v>0.46400000000000002</v>
      </c>
      <c r="P30" s="13"/>
      <c r="R30" s="13" t="s">
        <v>72</v>
      </c>
      <c r="S30" s="13"/>
      <c r="T30" s="13"/>
      <c r="U30" s="17">
        <f>V30*T8</f>
        <v>21071.4</v>
      </c>
      <c r="V30" s="18">
        <f>$C$9</f>
        <v>0.46400000000000002</v>
      </c>
      <c r="W30" s="13"/>
      <c r="Y30" s="13" t="s">
        <v>72</v>
      </c>
      <c r="Z30" s="13"/>
      <c r="AA30" s="13"/>
      <c r="AB30" s="17">
        <f>AC30*AA8</f>
        <v>19975.2</v>
      </c>
      <c r="AC30" s="18">
        <f>$C$9</f>
        <v>0.46400000000000002</v>
      </c>
      <c r="AD30" s="13"/>
      <c r="AF30" s="13" t="s">
        <v>72</v>
      </c>
      <c r="AG30" s="13"/>
      <c r="AH30" s="13"/>
      <c r="AI30" s="17">
        <f>AJ30*AH8</f>
        <v>20706</v>
      </c>
      <c r="AJ30" s="18">
        <f>$C$9</f>
        <v>0.46400000000000002</v>
      </c>
      <c r="AK30" s="13"/>
      <c r="AM30" s="13" t="s">
        <v>72</v>
      </c>
      <c r="AN30" s="13"/>
      <c r="AO30" s="13"/>
      <c r="AP30" s="17">
        <f>AQ30*AO8</f>
        <v>20340.600000000002</v>
      </c>
      <c r="AQ30" s="18">
        <f>$C$9</f>
        <v>0.46400000000000002</v>
      </c>
      <c r="AR30" s="13"/>
      <c r="AT30" s="13" t="s">
        <v>72</v>
      </c>
      <c r="AU30" s="13"/>
      <c r="AV30" s="13"/>
      <c r="AW30" s="17">
        <f>AX30*AV8</f>
        <v>20097</v>
      </c>
      <c r="AX30" s="18">
        <f>$C$9</f>
        <v>0.46400000000000002</v>
      </c>
      <c r="AY30" s="13"/>
    </row>
    <row r="31" spans="1:51" ht="18.75">
      <c r="A31" s="22"/>
      <c r="B31" s="2" t="s">
        <v>26</v>
      </c>
      <c r="C31" s="5">
        <f>SUM(D31:I31)</f>
        <v>1</v>
      </c>
      <c r="D31" s="5">
        <v>0.159</v>
      </c>
      <c r="E31" s="5">
        <v>0.161</v>
      </c>
      <c r="F31" s="5">
        <v>0.16800000000000001</v>
      </c>
      <c r="G31" s="5">
        <v>0.17299999999999999</v>
      </c>
      <c r="H31" s="5">
        <v>0.17199999999999999</v>
      </c>
      <c r="I31" s="5">
        <v>0.16700000000000001</v>
      </c>
      <c r="K31" s="13"/>
      <c r="L31" s="13"/>
      <c r="M31" s="13"/>
      <c r="N31" s="17"/>
      <c r="O31" s="18"/>
      <c r="P31" s="13"/>
      <c r="R31" s="13"/>
      <c r="S31" s="13"/>
      <c r="T31" s="13"/>
      <c r="U31" s="17"/>
      <c r="V31" s="18"/>
      <c r="W31" s="13"/>
      <c r="Y31" s="13"/>
      <c r="Z31" s="13"/>
      <c r="AA31" s="13"/>
      <c r="AB31" s="17"/>
      <c r="AC31" s="18"/>
      <c r="AD31" s="13"/>
      <c r="AF31" s="13"/>
      <c r="AG31" s="13"/>
      <c r="AH31" s="13"/>
      <c r="AI31" s="17"/>
      <c r="AJ31" s="18"/>
      <c r="AK31" s="13"/>
      <c r="AM31" s="13"/>
      <c r="AN31" s="13"/>
      <c r="AO31" s="13"/>
      <c r="AP31" s="17"/>
      <c r="AQ31" s="18"/>
      <c r="AR31" s="13"/>
      <c r="AT31" s="13"/>
      <c r="AU31" s="13"/>
      <c r="AV31" s="13"/>
      <c r="AW31" s="17"/>
      <c r="AX31" s="18"/>
      <c r="AY31" s="13"/>
    </row>
    <row r="32" spans="1:51" ht="18.75">
      <c r="A32" s="22"/>
      <c r="B32" s="2"/>
      <c r="K32" s="13" t="s">
        <v>9</v>
      </c>
      <c r="L32" s="13"/>
      <c r="M32" s="13"/>
      <c r="N32" s="17">
        <f>N28-N30</f>
        <v>-4795.970733538059</v>
      </c>
      <c r="O32" s="18">
        <f>N32/M8</f>
        <v>-0.11348052608194165</v>
      </c>
      <c r="P32" s="13"/>
      <c r="R32" s="13" t="s">
        <v>9</v>
      </c>
      <c r="S32" s="13"/>
      <c r="T32" s="13"/>
      <c r="U32" s="17">
        <f>U28-U30</f>
        <v>-2954.0127314323981</v>
      </c>
      <c r="V32" s="18">
        <f>U32/T8</f>
        <v>-6.5048449907677358E-2</v>
      </c>
      <c r="W32" s="13"/>
      <c r="Y32" s="13" t="s">
        <v>9</v>
      </c>
      <c r="Z32" s="13"/>
      <c r="AA32" s="13"/>
      <c r="AB32" s="17">
        <f>AB28-AB30</f>
        <v>-2185.6153557462167</v>
      </c>
      <c r="AC32" s="18">
        <f>AB32/AA8</f>
        <v>-5.0769230098634537E-2</v>
      </c>
      <c r="AD32" s="13"/>
      <c r="AF32" s="13" t="s">
        <v>9</v>
      </c>
      <c r="AG32" s="13"/>
      <c r="AH32" s="13"/>
      <c r="AI32" s="17">
        <f>AI28-AI30</f>
        <v>-1532.6265969953201</v>
      </c>
      <c r="AJ32" s="18">
        <f>AI32/AH8</f>
        <v>-3.4344573602136025E-2</v>
      </c>
      <c r="AK32" s="13"/>
      <c r="AM32" s="13" t="s">
        <v>9</v>
      </c>
      <c r="AN32" s="13"/>
      <c r="AO32" s="13"/>
      <c r="AP32" s="17">
        <f>AP28-AP30</f>
        <v>-1364.3380852896589</v>
      </c>
      <c r="AQ32" s="18">
        <f>AP32/AO8</f>
        <v>-3.1122625270365759E-2</v>
      </c>
      <c r="AR32" s="13"/>
      <c r="AT32" s="13" t="s">
        <v>9</v>
      </c>
      <c r="AU32" s="13"/>
      <c r="AV32" s="13"/>
      <c r="AW32" s="17">
        <f>AW28-AW30</f>
        <v>-1225.6873085032166</v>
      </c>
      <c r="AX32" s="18">
        <f>AW32/AV8</f>
        <v>-2.8298696877419142E-2</v>
      </c>
      <c r="AY32" s="13"/>
    </row>
    <row r="33" spans="1:9" ht="18">
      <c r="A33" s="22"/>
      <c r="B33" s="2" t="s">
        <v>27</v>
      </c>
      <c r="C33" s="6">
        <f>C8*C18</f>
        <v>5250</v>
      </c>
      <c r="D33" s="6">
        <f>$C$33*D35</f>
        <v>876.75</v>
      </c>
      <c r="E33" s="6">
        <f t="shared" ref="E33:I33" si="7">$C$33*E35</f>
        <v>876.75</v>
      </c>
      <c r="F33" s="6">
        <f t="shared" si="7"/>
        <v>876.75</v>
      </c>
      <c r="G33" s="6">
        <f t="shared" si="7"/>
        <v>871.5</v>
      </c>
      <c r="H33" s="6">
        <f t="shared" si="7"/>
        <v>876.75</v>
      </c>
      <c r="I33" s="6">
        <f t="shared" si="7"/>
        <v>871.5</v>
      </c>
    </row>
    <row r="34" spans="1:9" ht="18">
      <c r="A34" s="22"/>
      <c r="B34" s="2" t="s">
        <v>28</v>
      </c>
      <c r="C34" s="5">
        <f>C33/C18</f>
        <v>0.02</v>
      </c>
      <c r="D34" s="5">
        <f t="shared" ref="D34:I34" si="8">D33/D18</f>
        <v>2.0745341614906831E-2</v>
      </c>
      <c r="E34" s="5">
        <f t="shared" si="8"/>
        <v>1.9306358381502891E-2</v>
      </c>
      <c r="F34" s="5">
        <f t="shared" si="8"/>
        <v>2.0365853658536586E-2</v>
      </c>
      <c r="G34" s="5">
        <f t="shared" si="8"/>
        <v>1.9529411764705882E-2</v>
      </c>
      <c r="H34" s="5">
        <f t="shared" si="8"/>
        <v>0.02</v>
      </c>
      <c r="I34" s="5">
        <f t="shared" si="8"/>
        <v>2.012121212121212E-2</v>
      </c>
    </row>
    <row r="35" spans="1:9" ht="18">
      <c r="A35" s="22"/>
      <c r="B35" s="2" t="s">
        <v>29</v>
      </c>
      <c r="C35" s="5">
        <f>SUM(D35:I35)</f>
        <v>1</v>
      </c>
      <c r="D35" s="5">
        <v>0.16700000000000001</v>
      </c>
      <c r="E35" s="5">
        <v>0.16700000000000001</v>
      </c>
      <c r="F35" s="5">
        <v>0.16700000000000001</v>
      </c>
      <c r="G35" s="5">
        <v>0.16600000000000001</v>
      </c>
      <c r="H35" s="5">
        <v>0.16700000000000001</v>
      </c>
      <c r="I35" s="5">
        <v>0.16600000000000001</v>
      </c>
    </row>
    <row r="36" spans="1:9" ht="18">
      <c r="A36" s="22"/>
      <c r="B36" s="2"/>
    </row>
    <row r="37" spans="1:9" ht="18">
      <c r="A37" s="22"/>
      <c r="B37" s="2" t="s">
        <v>30</v>
      </c>
      <c r="C37" s="6">
        <f>SUM(D37:I37)</f>
        <v>330187.5</v>
      </c>
      <c r="D37" s="6">
        <f>(D18+D23+D25+D29+D33)-D21</f>
        <v>55564.087500000009</v>
      </c>
      <c r="E37" s="6">
        <f t="shared" ref="E37:I37" si="9">(E18+E23+E25+E29+E33)-E21</f>
        <v>54156.824999999983</v>
      </c>
      <c r="F37" s="6">
        <f t="shared" si="9"/>
        <v>55370.399999999994</v>
      </c>
      <c r="G37" s="6">
        <f t="shared" si="9"/>
        <v>55130.137499999983</v>
      </c>
      <c r="H37" s="6">
        <f t="shared" si="9"/>
        <v>54829.612500000017</v>
      </c>
      <c r="I37" s="6">
        <f t="shared" si="9"/>
        <v>55136.4375</v>
      </c>
    </row>
    <row r="38" spans="1:9" ht="18">
      <c r="A38" s="22"/>
      <c r="B38" s="2"/>
    </row>
    <row r="39" spans="1:9" ht="18">
      <c r="A39" s="22"/>
      <c r="B39" s="2" t="s">
        <v>31</v>
      </c>
      <c r="C39" s="5">
        <f>(C45-C59)/C45</f>
        <v>0.56763806353502255</v>
      </c>
      <c r="D39" s="5">
        <f>(D45-D59)/D45</f>
        <v>0.5153754421237059</v>
      </c>
      <c r="E39" s="5">
        <f t="shared" ref="E39:I39" si="10">(E45-E59)/E45</f>
        <v>0.54725493359869626</v>
      </c>
      <c r="F39" s="5">
        <f t="shared" si="10"/>
        <v>0.56645026677737653</v>
      </c>
      <c r="G39" s="5">
        <f t="shared" si="10"/>
        <v>0.57731467967407035</v>
      </c>
      <c r="H39" s="5">
        <f t="shared" si="10"/>
        <v>0.58361540327881578</v>
      </c>
      <c r="I39" s="5">
        <f t="shared" si="10"/>
        <v>0.5872811600618848</v>
      </c>
    </row>
    <row r="40" spans="1:9" ht="18">
      <c r="A40" s="22"/>
      <c r="B40" s="2"/>
    </row>
    <row r="41" spans="1:9" ht="18">
      <c r="A41" s="22"/>
      <c r="B41" s="2" t="s">
        <v>32</v>
      </c>
      <c r="C41" s="6">
        <f>AVERAGE(D21:I21, I23)</f>
        <v>75000</v>
      </c>
      <c r="D41" s="6">
        <f>AVERAGE(D21,D23)</f>
        <v>75075</v>
      </c>
      <c r="E41" s="6">
        <f t="shared" ref="E41:I41" si="11">AVERAGE(E21,E23)</f>
        <v>75412.5</v>
      </c>
      <c r="F41" s="6">
        <f t="shared" si="11"/>
        <v>75075</v>
      </c>
      <c r="G41" s="6">
        <f t="shared" si="11"/>
        <v>75412.5</v>
      </c>
      <c r="H41" s="6">
        <f t="shared" si="11"/>
        <v>74850</v>
      </c>
      <c r="I41" s="6">
        <f t="shared" si="11"/>
        <v>74812.5</v>
      </c>
    </row>
    <row r="42" spans="1:9" ht="18">
      <c r="A42" s="22"/>
      <c r="B42" s="2"/>
    </row>
    <row r="43" spans="1:9" ht="18">
      <c r="A43" s="22"/>
      <c r="B43" s="2" t="s">
        <v>12</v>
      </c>
      <c r="C43" s="7">
        <f>C18/AVERAGE(D21:I21,C23)</f>
        <v>3.5</v>
      </c>
      <c r="D43" s="7">
        <f>D18/(AVERAGE(D21,D23))</f>
        <v>0.56293706293706292</v>
      </c>
      <c r="E43" s="7">
        <f t="shared" ref="E43:I43" si="12">E18/(AVERAGE(E21,E23))</f>
        <v>0.60218796618597714</v>
      </c>
      <c r="F43" s="7">
        <f t="shared" si="12"/>
        <v>0.57342657342657344</v>
      </c>
      <c r="G43" s="7">
        <f t="shared" si="12"/>
        <v>0.59174540029835898</v>
      </c>
      <c r="H43" s="7">
        <f t="shared" si="12"/>
        <v>0.58567134268537069</v>
      </c>
      <c r="I43" s="7">
        <f t="shared" si="12"/>
        <v>0.57894736842105265</v>
      </c>
    </row>
    <row r="44" spans="1:9" ht="18">
      <c r="A44" s="22"/>
      <c r="B44" s="2"/>
    </row>
    <row r="45" spans="1:9" ht="18">
      <c r="A45" s="22"/>
      <c r="B45" s="2" t="s">
        <v>33</v>
      </c>
      <c r="C45" s="6">
        <f>C21+C37</f>
        <v>403912.5</v>
      </c>
      <c r="D45" s="6">
        <f>D21+D37</f>
        <v>129289.08750000001</v>
      </c>
      <c r="E45" s="6">
        <f t="shared" ref="E45:I45" si="13">E21+E37</f>
        <v>130581.825</v>
      </c>
      <c r="F45" s="6">
        <f t="shared" si="13"/>
        <v>129770.4</v>
      </c>
      <c r="G45" s="6">
        <f t="shared" si="13"/>
        <v>130880.13749999998</v>
      </c>
      <c r="H45" s="6">
        <f t="shared" si="13"/>
        <v>129904.6125</v>
      </c>
      <c r="I45" s="6">
        <f t="shared" si="13"/>
        <v>129761.4375</v>
      </c>
    </row>
    <row r="46" spans="1:9" ht="18">
      <c r="A46" s="22"/>
      <c r="B46" s="2"/>
    </row>
    <row r="47" spans="1:9" ht="18">
      <c r="A47" s="22"/>
      <c r="B47" s="2" t="s">
        <v>34</v>
      </c>
      <c r="C47" s="6">
        <f>(C18-C61)-($C$12*C51)+($C$11*C18)</f>
        <v>117191.74918849512</v>
      </c>
      <c r="D47" s="6">
        <f t="shared" ref="D47:I47" si="14">(D18-D61)-($C$12*D51)+($C$11*D18)</f>
        <v>16335.279266461939</v>
      </c>
      <c r="E47" s="6">
        <f t="shared" si="14"/>
        <v>19752.237268567602</v>
      </c>
      <c r="F47" s="6">
        <f t="shared" si="14"/>
        <v>19339.384644253787</v>
      </c>
      <c r="G47" s="6">
        <f t="shared" si="14"/>
        <v>20779.87340300468</v>
      </c>
      <c r="H47" s="6">
        <f t="shared" si="14"/>
        <v>20554.411914710345</v>
      </c>
      <c r="I47" s="6">
        <f t="shared" si="14"/>
        <v>20430.562691496783</v>
      </c>
    </row>
    <row r="48" spans="1:9" ht="18">
      <c r="A48" s="22"/>
      <c r="B48" s="2" t="s">
        <v>35</v>
      </c>
      <c r="C48" s="5">
        <f>C47/C18</f>
        <v>0.44644475881331475</v>
      </c>
      <c r="D48" s="5">
        <f t="shared" ref="D48:I48" si="15">D47/D18</f>
        <v>0.3865194739180583</v>
      </c>
      <c r="E48" s="5">
        <f t="shared" si="15"/>
        <v>0.43495155009232261</v>
      </c>
      <c r="F48" s="5">
        <f t="shared" si="15"/>
        <v>0.44923076990136557</v>
      </c>
      <c r="G48" s="5">
        <f t="shared" si="15"/>
        <v>0.46565542639786395</v>
      </c>
      <c r="H48" s="5">
        <f t="shared" si="15"/>
        <v>0.46887737472963431</v>
      </c>
      <c r="I48" s="5">
        <f t="shared" si="15"/>
        <v>0.47170130312258085</v>
      </c>
    </row>
    <row r="49" spans="1:9" ht="18">
      <c r="A49" s="22"/>
      <c r="B49" s="2"/>
    </row>
    <row r="50" spans="1:9" ht="18">
      <c r="A50" s="22" t="s">
        <v>2</v>
      </c>
      <c r="B50" s="3"/>
      <c r="C50" s="4" t="s">
        <v>47</v>
      </c>
      <c r="D50" s="3" t="s">
        <v>48</v>
      </c>
      <c r="E50" s="3" t="s">
        <v>49</v>
      </c>
      <c r="F50" s="3" t="s">
        <v>50</v>
      </c>
      <c r="G50" s="3" t="s">
        <v>51</v>
      </c>
      <c r="H50" s="3" t="s">
        <v>52</v>
      </c>
      <c r="I50" s="3" t="s">
        <v>53</v>
      </c>
    </row>
    <row r="51" spans="1:9" ht="18">
      <c r="A51" s="22"/>
      <c r="B51" s="2" t="s">
        <v>36</v>
      </c>
      <c r="C51" s="6">
        <f>SUM(D51:I51)</f>
        <v>127015.46288906623</v>
      </c>
      <c r="D51" s="6">
        <f>D37*($C$19-$C$5)</f>
        <v>21374.214026336795</v>
      </c>
      <c r="E51" s="6">
        <f t="shared" ref="E51:I51" si="16">E37*($C$19-$C$5)</f>
        <v>20832.872825219467</v>
      </c>
      <c r="F51" s="6">
        <f t="shared" si="16"/>
        <v>21299.70694333599</v>
      </c>
      <c r="G51" s="6">
        <f t="shared" si="16"/>
        <v>21207.283539505181</v>
      </c>
      <c r="H51" s="6">
        <f t="shared" si="16"/>
        <v>21091.678551476463</v>
      </c>
      <c r="I51" s="6">
        <f t="shared" si="16"/>
        <v>21209.707003192336</v>
      </c>
    </row>
    <row r="52" spans="1:9" ht="18">
      <c r="A52" s="22"/>
      <c r="B52" s="2"/>
    </row>
    <row r="53" spans="1:9" ht="18">
      <c r="A53" s="22"/>
      <c r="B53" s="2" t="s">
        <v>37</v>
      </c>
      <c r="C53" s="6">
        <f>SUM(D53:I53)</f>
        <v>7620.927773343974</v>
      </c>
      <c r="D53" s="6">
        <f>$C$14*D51</f>
        <v>1282.4528415802076</v>
      </c>
      <c r="E53" s="6">
        <f t="shared" ref="E53:I53" si="17">$C$14*E51</f>
        <v>1249.9723695131679</v>
      </c>
      <c r="F53" s="6">
        <f t="shared" si="17"/>
        <v>1277.9824166001595</v>
      </c>
      <c r="G53" s="6">
        <f t="shared" si="17"/>
        <v>1272.4370123703109</v>
      </c>
      <c r="H53" s="6">
        <f t="shared" si="17"/>
        <v>1265.5007130885876</v>
      </c>
      <c r="I53" s="6">
        <f t="shared" si="17"/>
        <v>1272.58242019154</v>
      </c>
    </row>
    <row r="54" spans="1:9" ht="18">
      <c r="A54" s="22"/>
      <c r="B54" s="2"/>
    </row>
    <row r="55" spans="1:9" ht="18">
      <c r="A55" s="22"/>
      <c r="B55" s="2" t="s">
        <v>38</v>
      </c>
      <c r="C55" s="6">
        <v>40000</v>
      </c>
      <c r="D55" s="6">
        <v>40000</v>
      </c>
      <c r="E55" s="6">
        <f>D23*($C$19-D39)</f>
        <v>37037.431835695781</v>
      </c>
      <c r="F55" s="6">
        <f>E23*($C$19-E39)</f>
        <v>33684.232940256996</v>
      </c>
      <c r="G55" s="6">
        <f>F23*($C$19-F39)</f>
        <v>32841.392291613731</v>
      </c>
      <c r="H55" s="6">
        <f>G23*($C$19-G39)</f>
        <v>31733.100423469161</v>
      </c>
      <c r="I55" s="6">
        <f>H23*($C$19-H39)</f>
        <v>31072.700530318372</v>
      </c>
    </row>
    <row r="56" spans="1:9" ht="18">
      <c r="A56" s="22"/>
      <c r="B56" s="2"/>
    </row>
    <row r="57" spans="1:9" ht="18">
      <c r="A57" s="22"/>
      <c r="B57" s="2" t="s">
        <v>39</v>
      </c>
      <c r="C57" s="6">
        <f>I57</f>
        <v>30953.912995358642</v>
      </c>
      <c r="D57" s="6">
        <f>D23*($C$19-D39)</f>
        <v>37037.431835695781</v>
      </c>
      <c r="E57" s="6">
        <f t="shared" ref="E57:I57" si="18">E23*($C$19-E39)</f>
        <v>33684.232940256996</v>
      </c>
      <c r="F57" s="6">
        <f t="shared" si="18"/>
        <v>32841.392291613731</v>
      </c>
      <c r="G57" s="6">
        <f t="shared" si="18"/>
        <v>31733.100423469161</v>
      </c>
      <c r="H57" s="6">
        <f t="shared" si="18"/>
        <v>31072.700530318372</v>
      </c>
      <c r="I57" s="6">
        <f t="shared" si="18"/>
        <v>30953.912995358642</v>
      </c>
    </row>
    <row r="58" spans="1:9" ht="18">
      <c r="A58" s="22"/>
      <c r="B58" s="2"/>
    </row>
    <row r="59" spans="1:9" ht="18">
      <c r="A59" s="22"/>
      <c r="B59" s="2" t="s">
        <v>40</v>
      </c>
      <c r="C59" s="6">
        <f>C51+C53+C55</f>
        <v>174636.39066241021</v>
      </c>
      <c r="D59" s="6">
        <f>D51+D53+D55</f>
        <v>62656.666867917003</v>
      </c>
      <c r="E59" s="6">
        <f>E51+E53+E55</f>
        <v>59120.27703042842</v>
      </c>
      <c r="F59" s="6">
        <f t="shared" ref="F59:I59" si="19">F51+F53+F55</f>
        <v>56261.922300193146</v>
      </c>
      <c r="G59" s="6">
        <f t="shared" si="19"/>
        <v>55321.112843489223</v>
      </c>
      <c r="H59" s="6">
        <f t="shared" si="19"/>
        <v>54090.279688034207</v>
      </c>
      <c r="I59" s="6">
        <f t="shared" si="19"/>
        <v>53554.989953702243</v>
      </c>
    </row>
    <row r="60" spans="1:9" ht="18">
      <c r="A60" s="22"/>
      <c r="B60" s="2"/>
    </row>
    <row r="61" spans="1:9" ht="18">
      <c r="A61" s="22"/>
      <c r="B61" s="2" t="s">
        <v>41</v>
      </c>
      <c r="C61" s="6">
        <f>C59-C57</f>
        <v>143682.47766705157</v>
      </c>
      <c r="D61" s="6">
        <f t="shared" ref="D61:I61" si="20">D59-D57</f>
        <v>25619.235032221222</v>
      </c>
      <c r="E61" s="6">
        <f t="shared" si="20"/>
        <v>25436.044090171425</v>
      </c>
      <c r="F61" s="6">
        <f t="shared" si="20"/>
        <v>23420.530008579415</v>
      </c>
      <c r="G61" s="6">
        <f t="shared" si="20"/>
        <v>23588.012420020063</v>
      </c>
      <c r="H61" s="6">
        <f t="shared" si="20"/>
        <v>23017.579157715834</v>
      </c>
      <c r="I61" s="6">
        <f t="shared" si="20"/>
        <v>22601.076958343601</v>
      </c>
    </row>
  </sheetData>
  <mergeCells count="11">
    <mergeCell ref="A1:I1"/>
    <mergeCell ref="A2:I2"/>
    <mergeCell ref="A3:A16"/>
    <mergeCell ref="A17:A49"/>
    <mergeCell ref="A50:A61"/>
    <mergeCell ref="AT1:AY1"/>
    <mergeCell ref="K1:P1"/>
    <mergeCell ref="R1:W1"/>
    <mergeCell ref="Y1:AD1"/>
    <mergeCell ref="AF1:AK1"/>
    <mergeCell ref="AM1:AR1"/>
  </mergeCells>
  <printOptions horizontalCentered="1" gridLines="1"/>
  <pageMargins left="0" right="0" top="0.75" bottom="0.25" header="0.5" footer="0.5"/>
  <pageSetup scale="50" orientation="landscape" r:id="rId1"/>
  <headerFooter>
    <oddHeader>&amp;LZara Black&amp;C&amp;D&amp;R&amp;T</oddHeader>
    <oddFooter>&amp;C&amp;A
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Sales Plan</vt:lpstr>
      <vt:lpstr>Inventory Plan</vt:lpstr>
      <vt:lpstr>Reductions Plan</vt:lpstr>
      <vt:lpstr>Retail Purchases Plan</vt:lpstr>
      <vt:lpstr>IMU</vt:lpstr>
      <vt:lpstr>Cost Values</vt:lpstr>
      <vt:lpstr>Gross Margin</vt:lpstr>
      <vt:lpstr>'Cost Values'!Print_Area</vt:lpstr>
      <vt:lpstr>'Gross Margin'!Print_Area</vt:lpstr>
      <vt:lpstr>IMU!Print_Area</vt:lpstr>
      <vt:lpstr>'Inventory Plan'!Print_Area</vt:lpstr>
      <vt:lpstr>'Reductions Plan'!Print_Area</vt:lpstr>
      <vt:lpstr>'Retail Purchases Plan'!Print_Area</vt:lpstr>
      <vt:lpstr>'Sales Plan'!Print_Area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Zara</dc:creator>
  <cp:lastModifiedBy>Zara</cp:lastModifiedBy>
  <cp:lastPrinted>2011-11-07T03:19:54Z</cp:lastPrinted>
  <dcterms:created xsi:type="dcterms:W3CDTF">2011-08-25T16:47:01Z</dcterms:created>
  <dcterms:modified xsi:type="dcterms:W3CDTF">2011-11-21T17:46:32Z</dcterms:modified>
</cp:coreProperties>
</file>